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31" windowWidth="15480" windowHeight="11640" activeTab="0"/>
  </bookViews>
  <sheets>
    <sheet name="イベント日程決定表ver2.0" sheetId="1" r:id="rId1"/>
    <sheet name="☆　説明　☆" sheetId="2" r:id="rId2"/>
    <sheet name="修正履歴" sheetId="3" r:id="rId3"/>
  </sheets>
  <definedNames>
    <definedName name="_xlnm.Print_Area" localSheetId="0">'イベント日程決定表ver2.0'!$B$1:$T$54</definedName>
  </definedNames>
  <calcPr fullCalcOnLoad="1"/>
</workbook>
</file>

<file path=xl/comments1.xml><?xml version="1.0" encoding="utf-8"?>
<comments xmlns="http://schemas.openxmlformats.org/spreadsheetml/2006/main">
  <authors>
    <author>DAISUKE-NOMURA</author>
    <author>NOMURA</author>
  </authors>
  <commentList>
    <comment ref="C2" authorId="0">
      <text>
        <r>
          <rPr>
            <sz val="12"/>
            <rFont val="ＭＳ Ｐゴシック"/>
            <family val="3"/>
          </rPr>
          <t>タイトルを入力</t>
        </r>
      </text>
    </comment>
    <comment ref="B8" authorId="1">
      <text>
        <r>
          <rPr>
            <b/>
            <sz val="9"/>
            <rFont val="ＭＳ Ｐゴシック"/>
            <family val="3"/>
          </rPr>
          <t>①「2/10」、「2007/10/2」のように、
候補の日付を順に入力して下さい☆
※自動抽出した場合でも追加したい日があれば入力して下さい(^o^)</t>
        </r>
      </text>
    </comment>
    <comment ref="C8" authorId="1">
      <text>
        <r>
          <rPr>
            <b/>
            <sz val="9"/>
            <rFont val="ＭＳ Ｐゴシック"/>
            <family val="3"/>
          </rPr>
          <t>②参加メンバーを順に入力して下さい♪</t>
        </r>
      </text>
    </comment>
    <comment ref="D8" authorId="1">
      <text>
        <r>
          <rPr>
            <b/>
            <sz val="9"/>
            <rFont val="ＭＳ Ｐゴシック"/>
            <family val="3"/>
          </rPr>
          <t>③[任意] その人の、開催イベントにとっての重要度を選択して下さい(-_-;)</t>
        </r>
      </text>
    </comment>
    <comment ref="G8" authorId="1">
      <text>
        <r>
          <rPr>
            <b/>
            <sz val="9"/>
            <rFont val="ＭＳ Ｐゴシック"/>
            <family val="3"/>
          </rPr>
          <t>④このフィールドに、各人の予定と都合を入れていって下さい(^^)/</t>
        </r>
      </text>
    </comment>
    <comment ref="A8" authorId="1">
      <text>
        <r>
          <rPr>
            <b/>
            <sz val="9"/>
            <rFont val="ＭＳ Ｐゴシック"/>
            <family val="3"/>
          </rPr>
          <t>休日は、祝日や振替休日にも対応しています☆</t>
        </r>
      </text>
    </comment>
    <comment ref="A15" authorId="1">
      <text>
        <r>
          <rPr>
            <b/>
            <sz val="11"/>
            <rFont val="ＭＳ Ｐゴシック"/>
            <family val="3"/>
          </rPr>
          <t>抽出した日付以外にも候補日にしたい日がある場合は、候補日の欄に入力すればそれも表に追加されます∈(ﾟ◎ﾟ)∋〃</t>
        </r>
      </text>
    </comment>
    <comment ref="AB16" authorId="1">
      <text>
        <r>
          <rPr>
            <b/>
            <sz val="9"/>
            <rFont val="ＭＳ Ｐゴシック"/>
            <family val="3"/>
          </rPr>
          <t>国民の休日→祝日と祝日に挟まれた平日は休日</t>
        </r>
      </text>
    </comment>
    <comment ref="AB12" authorId="1">
      <text>
        <r>
          <rPr>
            <b/>
            <sz val="9"/>
            <rFont val="ＭＳ Ｐゴシック"/>
            <family val="3"/>
          </rPr>
          <t>振替にしろ休日にしろ国民の休日にしろ5/4が休み</t>
        </r>
      </text>
    </comment>
    <comment ref="X30" authorId="1">
      <text>
        <r>
          <rPr>
            <b/>
            <sz val="9"/>
            <rFont val="ＭＳ Ｐゴシック"/>
            <family val="3"/>
          </rPr>
          <t>当日＆翌日はNULL</t>
        </r>
      </text>
    </comment>
    <comment ref="Y30" authorId="1">
      <text>
        <r>
          <rPr>
            <b/>
            <sz val="9"/>
            <rFont val="ＭＳ Ｐゴシック"/>
            <family val="3"/>
          </rPr>
          <t>当日＆翌日はNULL</t>
        </r>
      </text>
    </comment>
    <comment ref="AC4" authorId="1">
      <text>
        <r>
          <rPr>
            <b/>
            <sz val="9"/>
            <rFont val="ＭＳ Ｐゴシック"/>
            <family val="3"/>
          </rPr>
          <t>当月が11月12月の場合、１月２月の祝日は翌年になるようにしています。</t>
        </r>
      </text>
    </comment>
    <comment ref="AC5" authorId="1">
      <text>
        <r>
          <rPr>
            <b/>
            <sz val="9"/>
            <rFont val="ＭＳ Ｐゴシック"/>
            <family val="3"/>
          </rPr>
          <t>当月が11月12月の場合、１月２月の祝日は翌年になるようにしています。</t>
        </r>
      </text>
    </comment>
    <comment ref="AC6" authorId="1">
      <text>
        <r>
          <rPr>
            <b/>
            <sz val="9"/>
            <rFont val="ＭＳ Ｐゴシック"/>
            <family val="3"/>
          </rPr>
          <t>当月が11月12月の場合、１月２月の祝日は翌年になるようにしています。</t>
        </r>
      </text>
    </comment>
    <comment ref="AC7" authorId="1">
      <text>
        <r>
          <rPr>
            <b/>
            <sz val="9"/>
            <rFont val="ＭＳ Ｐゴシック"/>
            <family val="3"/>
          </rPr>
          <t>当月が11月12月の場合、１月２月の祝日は翌年になるようにしています。</t>
        </r>
      </text>
    </comment>
    <comment ref="AC8" authorId="1">
      <text>
        <r>
          <rPr>
            <b/>
            <sz val="9"/>
            <rFont val="ＭＳ Ｐゴシック"/>
            <family val="3"/>
          </rPr>
          <t>当月が11月12月の場合、１月２月の祝日は翌年になるようにしています。</t>
        </r>
      </text>
    </comment>
    <comment ref="A27" authorId="1">
      <text>
        <r>
          <rPr>
            <b/>
            <sz val="9"/>
            <rFont val="ＭＳ Ｐゴシック"/>
            <family val="3"/>
          </rPr>
          <t>曜日の抽出を選択した場合にはここも選択！</t>
        </r>
      </text>
    </comment>
    <comment ref="T8" authorId="1">
      <text>
        <r>
          <rPr>
            <b/>
            <sz val="9"/>
            <rFont val="ＭＳ Ｐゴシック"/>
            <family val="3"/>
          </rPr>
          <t>ポイントの数値は自由に編集可能です。</t>
        </r>
      </text>
    </comment>
    <comment ref="C49" authorId="1">
      <text>
        <r>
          <rPr>
            <b/>
            <sz val="9"/>
            <rFont val="ＭＳ Ｐゴシック"/>
            <family val="3"/>
          </rPr>
          <t>メモ欄です</t>
        </r>
      </text>
    </comment>
  </commentList>
</comments>
</file>

<file path=xl/sharedStrings.xml><?xml version="1.0" encoding="utf-8"?>
<sst xmlns="http://schemas.openxmlformats.org/spreadsheetml/2006/main" count="204" uniqueCount="146">
  <si>
    <t>メンバ</t>
  </si>
  <si>
    <t>候補日</t>
  </si>
  <si>
    <t>ステータス</t>
  </si>
  <si>
    <t>◎</t>
  </si>
  <si>
    <t>○</t>
  </si>
  <si>
    <t>△</t>
  </si>
  <si>
    <t>×</t>
  </si>
  <si>
    <t>説明</t>
  </si>
  <si>
    <t>希望</t>
  </si>
  <si>
    <t>ＯＫ</t>
  </si>
  <si>
    <t>不可</t>
  </si>
  <si>
    <t>重み</t>
  </si>
  <si>
    <t>重</t>
  </si>
  <si>
    <t>軽</t>
  </si>
  <si>
    <t>可能だが</t>
  </si>
  <si>
    <t>ポイント×２</t>
  </si>
  <si>
    <t>ポイント×1/2</t>
  </si>
  <si>
    <t>集計</t>
  </si>
  <si>
    <t>ポイント</t>
  </si>
  <si>
    <t>未定</t>
  </si>
  <si>
    <t>-</t>
  </si>
  <si>
    <t>ポイント換算</t>
  </si>
  <si>
    <t>に開催するのが良いでしょう</t>
  </si>
  <si>
    <t>集計ポイント⇔日付対応</t>
  </si>
  <si>
    <t>１．機能説明</t>
  </si>
  <si>
    <t>共同開発者募集</t>
  </si>
  <si>
    <t>重みを「軽」に設定した場合は、</t>
  </si>
  <si>
    <t>集計時のポイントが半分になります。</t>
  </si>
  <si>
    <t>・重複した計算が多いので効率化。</t>
  </si>
  <si>
    <t>候補日・参加者を入力し、それぞれの予定や希望を入力すると、開催日を決定してくれるエクセルシートです。</t>
  </si>
  <si>
    <t>抽出種別</t>
  </si>
  <si>
    <t>抽出日数</t>
  </si>
  <si>
    <t>↓ソート</t>
  </si>
  <si>
    <t>↓自動抽出</t>
  </si>
  <si>
    <t>(・_・)？</t>
  </si>
  <si>
    <t>日付</t>
  </si>
  <si>
    <t>修正事項</t>
  </si>
  <si>
    <t>修正者</t>
  </si>
  <si>
    <t>下部メモ欄の追加</t>
  </si>
  <si>
    <t>枠外に自動抽出ボタンを追加（未実装）</t>
  </si>
  <si>
    <t>改ページレイアウトから標準表示にして印刷範囲外をグレー塗り</t>
  </si>
  <si>
    <t>Version</t>
  </si>
  <si>
    <t>0.0</t>
  </si>
  <si>
    <t>新規作成</t>
  </si>
  <si>
    <t>0.2</t>
  </si>
  <si>
    <t>マトリックスの条件付色塗りを、「×」に追加。「△」から削除</t>
  </si>
  <si>
    <t>1.1</t>
  </si>
  <si>
    <t>1.1</t>
  </si>
  <si>
    <t>各入力欄にコメント追加</t>
  </si>
  <si>
    <t>気球からサンタさんに変更。吹き出し追加。</t>
  </si>
  <si>
    <t>ＮＯＭ</t>
  </si>
  <si>
    <t>ＮＯＭ</t>
  </si>
  <si>
    <t>最終決定日の表示がブランクの時の表示を「?」→「(・_・)？」</t>
  </si>
  <si>
    <t>IF(○○="",△△,○○)をやめてIF(ISBLANK(○○),△△,○○)へ。ＮＶＬみたいのはないの？</t>
  </si>
  <si>
    <t>元旦</t>
  </si>
  <si>
    <t>成人の日</t>
  </si>
  <si>
    <t>建国記念日</t>
  </si>
  <si>
    <t>春分の日</t>
  </si>
  <si>
    <t>みどりの日</t>
  </si>
  <si>
    <t>憲法記念日</t>
  </si>
  <si>
    <t>こどもの日</t>
  </si>
  <si>
    <t>海の日</t>
  </si>
  <si>
    <t>敬老の日</t>
  </si>
  <si>
    <t>秋分の日</t>
  </si>
  <si>
    <t>体育の日</t>
  </si>
  <si>
    <t>文化の日</t>
  </si>
  <si>
    <t>勤労感謝の日</t>
  </si>
  <si>
    <t>天皇誕生日</t>
  </si>
  <si>
    <t>日付の自動抽出を実装（万年祝日計算表を追加）</t>
  </si>
  <si>
    <t>1/2も普通は休み</t>
  </si>
  <si>
    <t>1/3も普通は休み</t>
  </si>
  <si>
    <t>今の年</t>
  </si>
  <si>
    <t>敬老と秋分の間</t>
  </si>
  <si>
    <t>憲法とこどもの間</t>
  </si>
  <si>
    <t>※春分・秋分の日の計算式は「Addin Box」を参考にしています</t>
  </si>
  <si>
    <t>→　http://www.h3.dion.ne.jp/~sakatsu/holiday_topic.htm</t>
  </si>
  <si>
    <t>祝日自動計算</t>
  </si>
  <si>
    <t>A</t>
  </si>
  <si>
    <t>A</t>
  </si>
  <si>
    <t>B</t>
  </si>
  <si>
    <t>A:日曜の場合振替</t>
  </si>
  <si>
    <t>この表＋土日が休みの日だ！！！</t>
  </si>
  <si>
    <t>B</t>
  </si>
  <si>
    <t>休日の前日の平日</t>
  </si>
  <si>
    <t>休日の前日の休日</t>
  </si>
  <si>
    <t>休日</t>
  </si>
  <si>
    <t>※30～43行目の計算部は非表示にしています。</t>
  </si>
  <si>
    <t>↓直近の土用日４日分</t>
  </si>
  <si>
    <t>直近の土曜日</t>
  </si>
  <si>
    <t>直近の日曜日</t>
  </si>
  <si>
    <t>↓今日の２日後以降のみ</t>
  </si>
  <si>
    <t>※日曜日の場合は振替の日にシフトさせています（三箇日は2035/11/21に）</t>
  </si>
  <si>
    <t>B:日曜の場合2035/11/21にする</t>
  </si>
  <si>
    <t>種別加味まとめ</t>
  </si>
  <si>
    <t>注：例えば「休日の前日の休日」で８日を選ぶと、未来すぎて途中までしかでません</t>
  </si>
  <si>
    <t>２．バージョンアップに向けた残課題</t>
  </si>
  <si>
    <t>・ステータスの「△」や「-」でも色を変える。（条件付書式の設定が３つまでのためマクロしないと不可）</t>
  </si>
  <si>
    <t>表示されます。</t>
  </si>
  <si>
    <t>⑤下部集計行に、ポイントの合計値が算出されます。最大ポイントはピンクになります。</t>
  </si>
  <si>
    <t>⑥同時に、最下部に決定した開催日が表示されます。</t>
  </si>
  <si>
    <t>　候補日の手入力欄に日付が入っていても、自動で出したものと合わせて順番を揃えて表示します。</t>
  </si>
  <si>
    <t>⑧メモ欄・吹き出しは好きに使って下さい。</t>
  </si>
  <si>
    <t>②枠外左で選択すれば、祝日・休日や、次の日が休みの日などを自動で表に出してくれます。</t>
  </si>
  <si>
    <t>-</t>
  </si>
  <si>
    <t>ＮＯＭ</t>
  </si>
  <si>
    <t>1.2</t>
  </si>
  <si>
    <r>
      <t>候補日を自動で抽出する場合は</t>
    </r>
    <r>
      <rPr>
        <b/>
        <sz val="9"/>
        <rFont val="ＭＳ ゴシック"/>
        <family val="3"/>
      </rPr>
      <t>↓</t>
    </r>
    <r>
      <rPr>
        <sz val="9"/>
        <rFont val="ＭＳ ゴシック"/>
        <family val="3"/>
      </rPr>
      <t>で選択</t>
    </r>
  </si>
  <si>
    <r>
      <t>自動抽出する場合の日数</t>
    </r>
    <r>
      <rPr>
        <b/>
        <sz val="9"/>
        <rFont val="ＭＳ ゴシック"/>
        <family val="3"/>
      </rPr>
      <t>↓</t>
    </r>
  </si>
  <si>
    <r>
      <t>指定曜日を抽出する場合</t>
    </r>
    <r>
      <rPr>
        <b/>
        <sz val="9"/>
        <rFont val="ＭＳ ゴシック"/>
        <family val="3"/>
      </rPr>
      <t>↓</t>
    </r>
  </si>
  <si>
    <t>中</t>
  </si>
  <si>
    <t>条件付書式を工夫して、動的に表が作成されているように見えるようにした。</t>
  </si>
  <si>
    <t>1.5</t>
  </si>
  <si>
    <t>曜日</t>
  </si>
  <si>
    <t>システム日付が土日である場合の直近の土日の抽出にバグがあったので修正</t>
  </si>
  <si>
    <t>指定曜日の抽出を実装。土日の抽出に無駄が多かったことに気づくが放置。</t>
  </si>
  <si>
    <t>①左の黄色い入力欄に、候補日を入力。１０個まで入力できます。なるべく上から順に入力して下さい。</t>
  </si>
  <si>
    <t>③隣の緑の欄に、参加者を入力。２０人まで入力可。任意ですが「重み」ステータスを各々に選択できます。</t>
  </si>
  <si>
    <t>　開催イベントにとって重要な人の重みを上げておけば、日程の決定権（ポイント）が倍になります。</t>
  </si>
  <si>
    <t>表に入力前は、開催日欄は「(・_・)？」で</t>
  </si>
  <si>
    <t>・無理難題を誰かください</t>
  </si>
  <si>
    <t>・後半作った部分は直書きが多いのでVLOOKUPとかで視覚的にメンテできるようにする。</t>
  </si>
  <si>
    <t>⑦ポイントの数が同じになった場合、近い候補日が開催日とされます。</t>
  </si>
  <si>
    <t>④右に派生した表の、該当マトリックスのステータスを選択していきます。</t>
  </si>
  <si>
    <t>曜日の抽出を選んだ場合は、抽出日数に加え</t>
  </si>
  <si>
    <t>曜日も選択します。</t>
  </si>
  <si>
    <t>セキュリティの問題でマクロはなるべく避けたい</t>
  </si>
  <si>
    <t>1.6</t>
  </si>
  <si>
    <t>説明書の修正が追いついていなかったので修正。</t>
  </si>
  <si>
    <t>年をまたいでも抽出します。法律で祝日が</t>
  </si>
  <si>
    <t>変わらない限り万年ＯＫ。（今日と明日は</t>
  </si>
  <si>
    <t>抽出の対象外です。明後日以降を抽出。）</t>
  </si>
  <si>
    <t>最大ﾎﾟｲﾝﾄ+10</t>
  </si>
  <si>
    <t>1.8</t>
  </si>
  <si>
    <t>エクセルのMAXやLARGE関数が絶対値で比較してるらしいことに気づく。バグ修正。</t>
  </si>
  <si>
    <t>ゼロ値の設定を変えたら表にゼロがいっぱいでた。慌てて空白に変換。ビッグバグ。</t>
  </si>
  <si>
    <t>グラフ用</t>
  </si>
  <si>
    <t>ポイント</t>
  </si>
  <si>
    <t>2.0</t>
  </si>
  <si>
    <t>自動で右に円グラフがでるように改良。ベスト４までだけをグラフに出してスッキリさせた。</t>
  </si>
  <si>
    <t>右に自動生成されるグラフは第４候補までの</t>
  </si>
  <si>
    <t>データ。</t>
  </si>
  <si>
    <t>シート保護（解除パスワードはagiagi）</t>
  </si>
  <si>
    <t>保護の解除パスワードはagiagiです。</t>
  </si>
  <si>
    <t>手入力のみで候補日を入力</t>
  </si>
  <si>
    <t>Excel 2003で作成しています。</t>
  </si>
  <si>
    <t>シートの部分保護が、Excelのバージョンが違うとうまくいかないことが判明したため、保護解除。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</si>
</sst>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0&quot;日&quot;"/>
    <numFmt numFmtId="180" formatCode="0&quot;日&quot;&quot;分&quot;"/>
    <numFmt numFmtId="181" formatCode="m&quot;月&quot;d&quot;日&quot;;@"/>
    <numFmt numFmtId="182" formatCode="0_);[Red]\(0\)"/>
  </numFmts>
  <fonts count="24">
    <font>
      <sz val="9"/>
      <name val="ＭＳ ゴシック"/>
      <family val="3"/>
    </font>
    <font>
      <sz val="6"/>
      <name val="ＭＳ ゴシック"/>
      <family val="3"/>
    </font>
    <font>
      <b/>
      <sz val="9"/>
      <name val="ＭＳ ゴシック"/>
      <family val="3"/>
    </font>
    <font>
      <sz val="12"/>
      <name val="ＭＳ ゴシック"/>
      <family val="3"/>
    </font>
    <font>
      <sz val="12"/>
      <name val="ＭＳ Ｐゴシック"/>
      <family val="3"/>
    </font>
    <font>
      <sz val="9"/>
      <color indexed="10"/>
      <name val="ＭＳ ゴシック"/>
      <family val="3"/>
    </font>
    <font>
      <b/>
      <sz val="9"/>
      <name val="ＭＳ Ｐゴシック"/>
      <family val="3"/>
    </font>
    <font>
      <sz val="8"/>
      <name val="ＭＳ ゴシック"/>
      <family val="3"/>
    </font>
    <font>
      <sz val="10"/>
      <name val="ＭＳ ゴシック"/>
      <family val="3"/>
    </font>
    <font>
      <u val="single"/>
      <sz val="9"/>
      <color indexed="12"/>
      <name val="ＭＳ ゴシック"/>
      <family val="3"/>
    </font>
    <font>
      <u val="single"/>
      <sz val="9"/>
      <color indexed="36"/>
      <name val="ＭＳ ゴシック"/>
      <family val="3"/>
    </font>
    <font>
      <b/>
      <sz val="9"/>
      <color indexed="10"/>
      <name val="ＭＳ ゴシック"/>
      <family val="3"/>
    </font>
    <font>
      <sz val="9"/>
      <color indexed="8"/>
      <name val="ＭＳ ゴシック"/>
      <family val="3"/>
    </font>
    <font>
      <sz val="9"/>
      <color indexed="22"/>
      <name val="ＭＳ ゴシック"/>
      <family val="3"/>
    </font>
    <font>
      <b/>
      <sz val="11"/>
      <name val="ＭＳ Ｐゴシック"/>
      <family val="3"/>
    </font>
    <font>
      <sz val="7"/>
      <color indexed="47"/>
      <name val="ＭＳ ゴシック"/>
      <family val="3"/>
    </font>
    <font>
      <sz val="7.5"/>
      <color indexed="47"/>
      <name val="ＭＳ ゴシック"/>
      <family val="3"/>
    </font>
    <font>
      <b/>
      <sz val="20"/>
      <name val="HGS創英角ﾎﾟｯﾌﾟ体"/>
      <family val="3"/>
    </font>
    <font>
      <sz val="9"/>
      <color indexed="43"/>
      <name val="ＭＳ ゴシック"/>
      <family val="3"/>
    </font>
    <font>
      <sz val="9"/>
      <name val="MS UI Gothic"/>
      <family val="3"/>
    </font>
    <font>
      <sz val="8"/>
      <color indexed="8"/>
      <name val="AR P勘亭流H"/>
      <family val="3"/>
    </font>
    <font>
      <sz val="10"/>
      <name val="ＭＳ Ｐゴシック"/>
      <family val="3"/>
    </font>
    <font>
      <sz val="5"/>
      <name val="ＭＳ Ｐゴシック"/>
      <family val="3"/>
    </font>
    <font>
      <b/>
      <sz val="8"/>
      <name val="ＭＳ ゴシック"/>
      <family val="2"/>
    </font>
  </fonts>
  <fills count="11">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4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hair"/>
      <right>
        <color indexed="63"/>
      </right>
      <top>
        <color indexed="63"/>
      </top>
      <bottom>
        <color indexed="63"/>
      </bottom>
    </border>
    <border>
      <left style="thin"/>
      <right style="medium"/>
      <top>
        <color indexed="63"/>
      </top>
      <bottom>
        <color indexed="63"/>
      </bottom>
    </border>
    <border>
      <left style="medium"/>
      <right>
        <color indexed="63"/>
      </right>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double"/>
    </border>
    <border>
      <left style="thin"/>
      <right>
        <color indexed="63"/>
      </right>
      <top style="thin"/>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dotted">
        <color indexed="23"/>
      </top>
      <bottom style="dotted">
        <color indexed="23"/>
      </bottom>
    </border>
    <border>
      <left>
        <color indexed="63"/>
      </left>
      <right>
        <color indexed="63"/>
      </right>
      <top style="dotted">
        <color indexed="23"/>
      </top>
      <bottom style="dotted">
        <color indexed="23"/>
      </bottom>
    </border>
    <border>
      <left>
        <color indexed="63"/>
      </left>
      <right style="thin">
        <color indexed="23"/>
      </right>
      <top style="dotted">
        <color indexed="23"/>
      </top>
      <bottom style="dotted">
        <color indexed="23"/>
      </bottom>
    </border>
    <border>
      <left style="medium"/>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48">
    <xf numFmtId="0" fontId="0" fillId="0" borderId="0" xfId="0" applyAlignment="1">
      <alignment vertical="center"/>
    </xf>
    <xf numFmtId="0" fontId="0" fillId="0" borderId="0" xfId="0" applyAlignment="1">
      <alignment horizontal="center" vertical="center"/>
    </xf>
    <xf numFmtId="49" fontId="0" fillId="2" borderId="1" xfId="0" applyNumberFormat="1" applyFill="1" applyBorder="1" applyAlignment="1">
      <alignment horizontal="center" vertical="center"/>
    </xf>
    <xf numFmtId="49" fontId="0" fillId="2"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0" fillId="0" borderId="0" xfId="0" applyBorder="1" applyAlignment="1">
      <alignment vertical="center"/>
    </xf>
    <xf numFmtId="0" fontId="0" fillId="3" borderId="0" xfId="0" applyFill="1" applyAlignment="1">
      <alignment horizontal="center" vertical="center"/>
    </xf>
    <xf numFmtId="177" fontId="0" fillId="3" borderId="4" xfId="0" applyNumberFormat="1" applyFill="1" applyBorder="1" applyAlignment="1">
      <alignment horizontal="center" vertical="center"/>
    </xf>
    <xf numFmtId="177" fontId="0" fillId="3" borderId="5" xfId="0" applyNumberFormat="1" applyFill="1" applyBorder="1" applyAlignment="1">
      <alignment horizontal="center" vertical="center"/>
    </xf>
    <xf numFmtId="0" fontId="0" fillId="3" borderId="6" xfId="0" applyFill="1" applyBorder="1" applyAlignment="1">
      <alignment horizontal="center" vertical="center"/>
    </xf>
    <xf numFmtId="177" fontId="0" fillId="3" borderId="7" xfId="0" applyNumberFormat="1" applyFill="1" applyBorder="1" applyAlignment="1">
      <alignment horizontal="center" vertical="center"/>
    </xf>
    <xf numFmtId="0" fontId="0" fillId="3" borderId="0" xfId="0" applyFill="1" applyAlignment="1">
      <alignment vertical="center"/>
    </xf>
    <xf numFmtId="177" fontId="0" fillId="3" borderId="0" xfId="0" applyNumberFormat="1" applyFill="1" applyBorder="1" applyAlignment="1">
      <alignment horizontal="center" vertical="center"/>
    </xf>
    <xf numFmtId="0" fontId="0" fillId="3" borderId="1" xfId="0" applyFill="1" applyBorder="1" applyAlignment="1">
      <alignment horizontal="center" vertical="center"/>
    </xf>
    <xf numFmtId="178" fontId="0" fillId="3" borderId="3" xfId="0" applyNumberFormat="1" applyFill="1" applyBorder="1" applyAlignment="1">
      <alignment horizontal="center" vertical="center"/>
    </xf>
    <xf numFmtId="0" fontId="0" fillId="3" borderId="7" xfId="0" applyFill="1" applyBorder="1" applyAlignment="1">
      <alignment horizontal="center" vertical="center"/>
    </xf>
    <xf numFmtId="177" fontId="0" fillId="3" borderId="8" xfId="0" applyNumberFormat="1" applyFill="1" applyBorder="1" applyAlignment="1">
      <alignment horizontal="center" vertical="center"/>
    </xf>
    <xf numFmtId="49" fontId="0" fillId="3" borderId="5" xfId="0" applyNumberFormat="1" applyFill="1" applyBorder="1" applyAlignment="1">
      <alignment horizontal="center" vertical="center"/>
    </xf>
    <xf numFmtId="0" fontId="0" fillId="3" borderId="0" xfId="0" applyFill="1" applyBorder="1" applyAlignment="1">
      <alignment vertical="center"/>
    </xf>
    <xf numFmtId="0" fontId="3" fillId="3" borderId="0" xfId="0" applyFont="1" applyFill="1" applyBorder="1" applyAlignment="1">
      <alignment vertical="center"/>
    </xf>
    <xf numFmtId="0" fontId="2" fillId="3" borderId="9" xfId="0" applyFont="1" applyFill="1" applyBorder="1" applyAlignment="1">
      <alignment horizontal="center" vertical="center"/>
    </xf>
    <xf numFmtId="0" fontId="0" fillId="3" borderId="10" xfId="0" applyFill="1" applyBorder="1" applyAlignment="1">
      <alignment horizontal="center" vertical="center"/>
    </xf>
    <xf numFmtId="0" fontId="2" fillId="3" borderId="11" xfId="0" applyFont="1" applyFill="1" applyBorder="1" applyAlignment="1">
      <alignment horizontal="center" vertical="center"/>
    </xf>
    <xf numFmtId="0" fontId="0" fillId="3" borderId="2" xfId="0" applyFill="1" applyBorder="1" applyAlignment="1">
      <alignment horizontal="center" vertical="center"/>
    </xf>
    <xf numFmtId="49" fontId="0" fillId="3" borderId="10" xfId="0" applyNumberFormat="1" applyFill="1" applyBorder="1" applyAlignment="1">
      <alignment horizontal="center" vertical="center"/>
    </xf>
    <xf numFmtId="49" fontId="0" fillId="3" borderId="6" xfId="0" applyNumberFormat="1" applyFill="1" applyBorder="1" applyAlignment="1">
      <alignment horizontal="center" vertical="center"/>
    </xf>
    <xf numFmtId="49" fontId="0" fillId="3" borderId="2" xfId="0" applyNumberFormat="1" applyFill="1" applyBorder="1" applyAlignment="1">
      <alignment horizontal="center" vertical="center"/>
    </xf>
    <xf numFmtId="49" fontId="0" fillId="3" borderId="3" xfId="0" applyNumberFormat="1" applyFill="1" applyBorder="1" applyAlignment="1">
      <alignment horizontal="center" vertical="center"/>
    </xf>
    <xf numFmtId="0" fontId="0" fillId="3" borderId="3"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3" xfId="0" applyFill="1" applyBorder="1" applyAlignment="1">
      <alignment vertical="center"/>
    </xf>
    <xf numFmtId="0" fontId="0" fillId="3" borderId="14" xfId="0" applyFill="1" applyBorder="1" applyAlignment="1">
      <alignment vertical="center"/>
    </xf>
    <xf numFmtId="0" fontId="0" fillId="3" borderId="15" xfId="0" applyFill="1" applyBorder="1" applyAlignment="1">
      <alignment horizontal="center" vertical="center"/>
    </xf>
    <xf numFmtId="0" fontId="0" fillId="3" borderId="0" xfId="0" applyFill="1" applyBorder="1" applyAlignment="1">
      <alignment horizontal="center" vertical="center"/>
    </xf>
    <xf numFmtId="0" fontId="0" fillId="3" borderId="16" xfId="0" applyFill="1" applyBorder="1" applyAlignment="1">
      <alignment vertical="center"/>
    </xf>
    <xf numFmtId="0" fontId="0" fillId="3" borderId="0" xfId="0" applyFill="1" applyBorder="1" applyAlignment="1">
      <alignment vertical="center"/>
    </xf>
    <xf numFmtId="0" fontId="2" fillId="3" borderId="17" xfId="0" applyFont="1" applyFill="1" applyBorder="1" applyAlignment="1">
      <alignment horizontal="center" vertical="center"/>
    </xf>
    <xf numFmtId="177" fontId="0" fillId="4" borderId="18" xfId="0" applyNumberFormat="1" applyFill="1" applyBorder="1" applyAlignment="1">
      <alignment horizontal="center" vertical="center"/>
    </xf>
    <xf numFmtId="178" fontId="2" fillId="3" borderId="16" xfId="0" applyNumberFormat="1" applyFont="1" applyFill="1" applyBorder="1" applyAlignment="1">
      <alignment horizontal="center" vertical="center"/>
    </xf>
    <xf numFmtId="177" fontId="0" fillId="4" borderId="15" xfId="0" applyNumberFormat="1" applyFill="1" applyBorder="1" applyAlignment="1">
      <alignment horizontal="center" vertical="center"/>
    </xf>
    <xf numFmtId="178" fontId="2" fillId="3" borderId="16" xfId="0" applyNumberFormat="1" applyFont="1" applyFill="1" applyBorder="1" applyAlignment="1" quotePrefix="1">
      <alignment horizontal="center" vertical="center"/>
    </xf>
    <xf numFmtId="178" fontId="2" fillId="3" borderId="19" xfId="0" applyNumberFormat="1" applyFont="1" applyFill="1" applyBorder="1" applyAlignment="1" quotePrefix="1">
      <alignment horizontal="center" vertical="center"/>
    </xf>
    <xf numFmtId="0" fontId="7" fillId="3" borderId="20" xfId="0" applyFont="1" applyFill="1" applyBorder="1" applyAlignment="1">
      <alignment vertical="center" wrapText="1"/>
    </xf>
    <xf numFmtId="0" fontId="7" fillId="3" borderId="21" xfId="0" applyFont="1" applyFill="1" applyBorder="1" applyAlignment="1">
      <alignment vertical="center" wrapText="1"/>
    </xf>
    <xf numFmtId="178" fontId="0" fillId="3" borderId="18" xfId="0" applyNumberFormat="1" applyFill="1" applyBorder="1" applyAlignment="1">
      <alignment horizontal="center" vertical="center"/>
    </xf>
    <xf numFmtId="178" fontId="0" fillId="3" borderId="0" xfId="0" applyNumberFormat="1" applyFill="1" applyBorder="1" applyAlignment="1">
      <alignment horizontal="center" vertical="center"/>
    </xf>
    <xf numFmtId="178" fontId="0" fillId="3" borderId="15" xfId="0" applyNumberFormat="1"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4" xfId="0" applyFill="1" applyBorder="1" applyAlignment="1">
      <alignment vertical="center"/>
    </xf>
    <xf numFmtId="0" fontId="0" fillId="3" borderId="25" xfId="0" applyFill="1" applyBorder="1" applyAlignment="1">
      <alignment vertical="center"/>
    </xf>
    <xf numFmtId="0" fontId="0" fillId="5" borderId="0" xfId="0" applyFill="1" applyAlignment="1">
      <alignment vertical="center"/>
    </xf>
    <xf numFmtId="0" fontId="0" fillId="5" borderId="0" xfId="0" applyFill="1" applyAlignment="1">
      <alignment horizontal="center" vertical="center"/>
    </xf>
    <xf numFmtId="14" fontId="0" fillId="3" borderId="16" xfId="0" applyNumberFormat="1" applyFill="1" applyBorder="1" applyAlignment="1">
      <alignment vertical="center"/>
    </xf>
    <xf numFmtId="14" fontId="0" fillId="0" borderId="0" xfId="0" applyNumberFormat="1" applyAlignment="1">
      <alignment horizontal="center" vertical="center"/>
    </xf>
    <xf numFmtId="14" fontId="0" fillId="0" borderId="2" xfId="0" applyNumberFormat="1" applyBorder="1" applyAlignment="1" quotePrefix="1">
      <alignment horizontal="center" vertical="center"/>
    </xf>
    <xf numFmtId="14" fontId="0" fillId="0" borderId="2" xfId="0" applyNumberFormat="1" applyBorder="1" applyAlignment="1">
      <alignment horizontal="center" vertical="center"/>
    </xf>
    <xf numFmtId="0" fontId="0" fillId="0" borderId="2" xfId="0" applyBorder="1" applyAlignment="1">
      <alignment horizontal="center" vertical="center"/>
    </xf>
    <xf numFmtId="0" fontId="0" fillId="4" borderId="1" xfId="0" applyFill="1" applyBorder="1" applyAlignment="1">
      <alignment horizontal="left" vertical="center"/>
    </xf>
    <xf numFmtId="0" fontId="0" fillId="0" borderId="2" xfId="0" applyBorder="1" applyAlignment="1">
      <alignment horizontal="left" vertical="center"/>
    </xf>
    <xf numFmtId="0" fontId="0" fillId="4" borderId="1" xfId="0" applyFill="1" applyBorder="1" applyAlignment="1">
      <alignment horizontal="center" vertical="center"/>
    </xf>
    <xf numFmtId="0" fontId="0" fillId="4" borderId="26" xfId="0" applyFill="1" applyBorder="1" applyAlignment="1">
      <alignment horizontal="center" vertical="center"/>
    </xf>
    <xf numFmtId="181" fontId="0" fillId="0" borderId="0" xfId="0" applyNumberFormat="1" applyAlignment="1">
      <alignment vertical="center"/>
    </xf>
    <xf numFmtId="0" fontId="2" fillId="3" borderId="0" xfId="0" applyFont="1" applyFill="1" applyAlignment="1">
      <alignment vertical="center"/>
    </xf>
    <xf numFmtId="0" fontId="0" fillId="0" borderId="0" xfId="0" applyFill="1" applyAlignment="1">
      <alignment vertical="center"/>
    </xf>
    <xf numFmtId="0" fontId="0" fillId="3" borderId="0" xfId="0" applyFill="1" applyAlignment="1" quotePrefix="1">
      <alignment vertical="center"/>
    </xf>
    <xf numFmtId="0" fontId="0" fillId="3" borderId="27" xfId="0" applyFill="1" applyBorder="1" applyAlignment="1">
      <alignment vertical="center"/>
    </xf>
    <xf numFmtId="0" fontId="5" fillId="3" borderId="0" xfId="0" applyFont="1" applyFill="1" applyAlignment="1">
      <alignment vertical="center"/>
    </xf>
    <xf numFmtId="0" fontId="0" fillId="3" borderId="15" xfId="0" applyFill="1" applyBorder="1" applyAlignment="1">
      <alignment vertical="center"/>
    </xf>
    <xf numFmtId="0" fontId="0" fillId="3" borderId="23" xfId="0" applyFill="1" applyBorder="1" applyAlignment="1">
      <alignment vertical="center"/>
    </xf>
    <xf numFmtId="181" fontId="0" fillId="3" borderId="28" xfId="0" applyNumberFormat="1" applyFill="1" applyBorder="1" applyAlignment="1">
      <alignment vertical="center"/>
    </xf>
    <xf numFmtId="0" fontId="0" fillId="3" borderId="29" xfId="0" applyFill="1" applyBorder="1" applyAlignment="1">
      <alignment vertical="center"/>
    </xf>
    <xf numFmtId="0" fontId="0" fillId="3" borderId="30" xfId="0" applyFill="1" applyBorder="1" applyAlignment="1">
      <alignment vertical="center"/>
    </xf>
    <xf numFmtId="0" fontId="9" fillId="3" borderId="0" xfId="16" applyFont="1" applyFill="1" applyAlignment="1">
      <alignment vertical="center"/>
    </xf>
    <xf numFmtId="0" fontId="0" fillId="6" borderId="12" xfId="0" applyFill="1" applyBorder="1" applyAlignment="1">
      <alignment vertical="center"/>
    </xf>
    <xf numFmtId="181" fontId="0" fillId="6" borderId="31" xfId="0" applyNumberFormat="1" applyFill="1" applyBorder="1" applyAlignment="1">
      <alignment vertical="center"/>
    </xf>
    <xf numFmtId="0" fontId="0" fillId="6" borderId="15" xfId="0" applyFill="1" applyBorder="1" applyAlignment="1">
      <alignment vertical="center"/>
    </xf>
    <xf numFmtId="181" fontId="0" fillId="6" borderId="28" xfId="0" applyNumberFormat="1" applyFill="1" applyBorder="1" applyAlignment="1">
      <alignment vertical="center"/>
    </xf>
    <xf numFmtId="0" fontId="0" fillId="6" borderId="23" xfId="0" applyFill="1" applyBorder="1" applyAlignment="1">
      <alignment vertical="center"/>
    </xf>
    <xf numFmtId="181" fontId="0" fillId="3" borderId="32" xfId="0" applyNumberFormat="1" applyFill="1" applyBorder="1" applyAlignment="1">
      <alignment vertical="center"/>
    </xf>
    <xf numFmtId="0" fontId="11" fillId="3" borderId="0" xfId="0" applyFont="1" applyFill="1" applyAlignment="1">
      <alignment vertical="center"/>
    </xf>
    <xf numFmtId="181" fontId="0" fillId="6" borderId="32" xfId="0" applyNumberFormat="1" applyFill="1" applyBorder="1" applyAlignment="1">
      <alignment vertical="center"/>
    </xf>
    <xf numFmtId="14" fontId="0" fillId="7" borderId="0" xfId="0" applyNumberFormat="1" applyFill="1" applyBorder="1" applyAlignment="1">
      <alignment horizontal="center" vertical="center"/>
    </xf>
    <xf numFmtId="14" fontId="0" fillId="8" borderId="16" xfId="0" applyNumberFormat="1" applyFill="1" applyBorder="1" applyAlignment="1">
      <alignment vertical="center"/>
    </xf>
    <xf numFmtId="14" fontId="0" fillId="3" borderId="0" xfId="0" applyNumberFormat="1" applyFill="1" applyAlignment="1">
      <alignment vertical="center"/>
    </xf>
    <xf numFmtId="182" fontId="0" fillId="3" borderId="0" xfId="0" applyNumberFormat="1" applyFill="1" applyAlignment="1">
      <alignment vertical="center"/>
    </xf>
    <xf numFmtId="0" fontId="0" fillId="2" borderId="0" xfId="0" applyFill="1" applyAlignment="1">
      <alignment horizontal="center" vertical="center"/>
    </xf>
    <xf numFmtId="0" fontId="0" fillId="2" borderId="10" xfId="0" applyFill="1" applyBorder="1" applyAlignment="1">
      <alignment horizontal="center" vertical="center"/>
    </xf>
    <xf numFmtId="14" fontId="0" fillId="5" borderId="0" xfId="0" applyNumberFormat="1" applyFill="1" applyAlignment="1">
      <alignment horizontal="center" vertical="center"/>
    </xf>
    <xf numFmtId="14" fontId="0" fillId="5" borderId="10" xfId="0" applyNumberFormat="1" applyFill="1" applyBorder="1" applyAlignment="1">
      <alignment horizontal="center" vertical="center"/>
    </xf>
    <xf numFmtId="14" fontId="12" fillId="3" borderId="0" xfId="0" applyNumberFormat="1" applyFont="1" applyFill="1" applyAlignment="1">
      <alignment vertical="center"/>
    </xf>
    <xf numFmtId="14" fontId="13" fillId="5" borderId="0" xfId="0" applyNumberFormat="1" applyFont="1" applyFill="1" applyAlignment="1">
      <alignment horizontal="center" vertical="center"/>
    </xf>
    <xf numFmtId="14" fontId="13" fillId="5" borderId="0" xfId="0" applyNumberFormat="1" applyFont="1" applyFill="1" applyBorder="1" applyAlignment="1">
      <alignment horizontal="center" vertical="center"/>
    </xf>
    <xf numFmtId="0" fontId="0" fillId="2" borderId="33" xfId="0" applyFill="1" applyBorder="1" applyAlignment="1">
      <alignment horizontal="center" vertical="center"/>
    </xf>
    <xf numFmtId="14" fontId="0" fillId="5" borderId="34" xfId="0" applyNumberFormat="1" applyFill="1" applyBorder="1" applyAlignment="1">
      <alignment horizontal="center" vertical="center"/>
    </xf>
    <xf numFmtId="14" fontId="0" fillId="5" borderId="35" xfId="0" applyNumberFormat="1" applyFill="1" applyBorder="1" applyAlignment="1">
      <alignment horizontal="center" vertical="center"/>
    </xf>
    <xf numFmtId="49" fontId="0" fillId="9" borderId="0" xfId="0" applyNumberFormat="1" applyFill="1" applyBorder="1" applyAlignment="1">
      <alignment horizontal="center" vertical="center"/>
    </xf>
    <xf numFmtId="49" fontId="0" fillId="9" borderId="36" xfId="0" applyNumberFormat="1" applyFill="1" applyBorder="1" applyAlignment="1">
      <alignment horizontal="center" vertical="center"/>
    </xf>
    <xf numFmtId="0" fontId="15" fillId="5" borderId="16" xfId="0" applyFont="1" applyFill="1" applyBorder="1" applyAlignment="1">
      <alignment vertical="top" wrapText="1"/>
    </xf>
    <xf numFmtId="0" fontId="0" fillId="3" borderId="21" xfId="0" applyFill="1" applyBorder="1" applyAlignment="1">
      <alignment horizontal="center" vertical="center"/>
    </xf>
    <xf numFmtId="177" fontId="2" fillId="3" borderId="0" xfId="0" applyNumberFormat="1" applyFont="1" applyFill="1" applyBorder="1" applyAlignment="1">
      <alignment horizontal="center" vertical="center"/>
    </xf>
    <xf numFmtId="0" fontId="18" fillId="5" borderId="0" xfId="0" applyFont="1" applyFill="1" applyAlignment="1">
      <alignment vertical="center"/>
    </xf>
    <xf numFmtId="14" fontId="13" fillId="5" borderId="0" xfId="0" applyNumberFormat="1" applyFont="1" applyFill="1" applyAlignment="1">
      <alignment vertical="center"/>
    </xf>
    <xf numFmtId="0" fontId="0" fillId="3" borderId="0" xfId="0" applyFont="1" applyFill="1" applyAlignment="1">
      <alignment vertical="center"/>
    </xf>
    <xf numFmtId="0" fontId="0" fillId="5" borderId="16" xfId="0" applyFill="1" applyBorder="1" applyAlignment="1">
      <alignment vertical="center"/>
    </xf>
    <xf numFmtId="0" fontId="2" fillId="3" borderId="0" xfId="0" applyNumberFormat="1" applyFont="1" applyFill="1" applyBorder="1" applyAlignment="1">
      <alignment horizontal="center" vertical="center"/>
    </xf>
    <xf numFmtId="0" fontId="2" fillId="3" borderId="36" xfId="0" applyNumberFormat="1" applyFont="1" applyFill="1" applyBorder="1" applyAlignment="1">
      <alignment horizontal="center" vertical="center"/>
    </xf>
    <xf numFmtId="0" fontId="0" fillId="2" borderId="37" xfId="0" applyNumberFormat="1" applyFill="1" applyBorder="1" applyAlignment="1">
      <alignment horizontal="center" vertical="center"/>
    </xf>
    <xf numFmtId="0" fontId="0" fillId="2" borderId="10" xfId="0" applyNumberFormat="1" applyFill="1" applyBorder="1" applyAlignment="1">
      <alignment horizontal="center" vertical="center"/>
    </xf>
    <xf numFmtId="0" fontId="0" fillId="2" borderId="0" xfId="0" applyNumberFormat="1" applyFill="1" applyBorder="1" applyAlignment="1">
      <alignment horizontal="center" vertical="center"/>
    </xf>
    <xf numFmtId="0" fontId="0" fillId="2" borderId="6" xfId="0" applyNumberFormat="1" applyFill="1" applyBorder="1" applyAlignment="1">
      <alignment horizontal="center" vertical="center"/>
    </xf>
    <xf numFmtId="0" fontId="7" fillId="3" borderId="1" xfId="0" applyFont="1" applyFill="1" applyBorder="1" applyAlignment="1">
      <alignment horizontal="center" vertical="center"/>
    </xf>
    <xf numFmtId="0" fontId="13" fillId="5" borderId="0" xfId="0" applyFont="1" applyFill="1" applyAlignment="1">
      <alignment vertical="center"/>
    </xf>
    <xf numFmtId="177" fontId="13" fillId="5" borderId="0" xfId="0" applyNumberFormat="1" applyFont="1" applyFill="1" applyAlignment="1">
      <alignment vertical="center"/>
    </xf>
    <xf numFmtId="178" fontId="13" fillId="5" borderId="0" xfId="0" applyNumberFormat="1" applyFont="1" applyFill="1" applyAlignment="1">
      <alignment vertical="center"/>
    </xf>
    <xf numFmtId="178" fontId="0" fillId="5" borderId="0" xfId="0" applyNumberFormat="1" applyFill="1" applyAlignment="1">
      <alignment vertical="center"/>
    </xf>
    <xf numFmtId="0" fontId="12" fillId="3" borderId="0" xfId="0" applyFont="1" applyFill="1" applyAlignment="1">
      <alignment vertical="center"/>
    </xf>
    <xf numFmtId="0" fontId="13" fillId="5" borderId="0" xfId="0" applyFont="1" applyFill="1" applyAlignment="1">
      <alignment horizontal="center" vertical="center"/>
    </xf>
    <xf numFmtId="0" fontId="0" fillId="4" borderId="38" xfId="0" applyFill="1" applyBorder="1" applyAlignment="1">
      <alignment horizontal="left" vertical="center"/>
    </xf>
    <xf numFmtId="0" fontId="0" fillId="4" borderId="39" xfId="0" applyFill="1" applyBorder="1" applyAlignment="1">
      <alignment horizontal="left" vertical="center"/>
    </xf>
    <xf numFmtId="0" fontId="0" fillId="4" borderId="40" xfId="0" applyFill="1" applyBorder="1" applyAlignment="1">
      <alignment horizontal="left" vertical="center"/>
    </xf>
    <xf numFmtId="0" fontId="0" fillId="5" borderId="16"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8" fillId="2" borderId="33" xfId="0" applyNumberFormat="1" applyFont="1" applyFill="1" applyBorder="1" applyAlignment="1">
      <alignment horizontal="center" vertical="center"/>
    </xf>
    <xf numFmtId="0" fontId="8" fillId="2" borderId="34" xfId="0" applyNumberFormat="1" applyFont="1" applyFill="1" applyBorder="1" applyAlignment="1">
      <alignment horizontal="center" vertical="center"/>
    </xf>
    <xf numFmtId="0" fontId="8" fillId="2" borderId="35" xfId="0" applyNumberFormat="1" applyFont="1" applyFill="1" applyBorder="1" applyAlignment="1">
      <alignment horizontal="center" vertical="center"/>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0" fillId="4" borderId="43" xfId="0" applyFill="1" applyBorder="1" applyAlignment="1">
      <alignment horizontal="lef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177" fontId="3" fillId="3" borderId="33" xfId="0" applyNumberFormat="1" applyFont="1" applyFill="1" applyBorder="1" applyAlignment="1">
      <alignment horizontal="center" vertical="center"/>
    </xf>
    <xf numFmtId="177" fontId="3" fillId="3" borderId="35"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17" fillId="0" borderId="0" xfId="0" applyFont="1" applyBorder="1" applyAlignment="1">
      <alignment horizontal="center" vertical="center"/>
    </xf>
    <xf numFmtId="0" fontId="0" fillId="10" borderId="33" xfId="0" applyFill="1" applyBorder="1" applyAlignment="1">
      <alignment horizontal="center" vertical="center"/>
    </xf>
    <xf numFmtId="0" fontId="0" fillId="10" borderId="35" xfId="0" applyFill="1" applyBorder="1" applyAlignment="1">
      <alignment horizontal="center" vertical="center"/>
    </xf>
    <xf numFmtId="0" fontId="16" fillId="5" borderId="14" xfId="0" applyFont="1" applyFill="1" applyBorder="1" applyAlignment="1">
      <alignment horizontal="left" vertical="top" wrapText="1"/>
    </xf>
    <xf numFmtId="0" fontId="16" fillId="5" borderId="16" xfId="0" applyFont="1" applyFill="1" applyBorder="1" applyAlignment="1">
      <alignment horizontal="left" vertical="top" wrapText="1"/>
    </xf>
    <xf numFmtId="0" fontId="0" fillId="5" borderId="16" xfId="0"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1">
    <dxf>
      <fill>
        <patternFill>
          <bgColor rgb="FFFF99CC"/>
        </patternFill>
      </fill>
      <border/>
    </dxf>
    <dxf>
      <font>
        <color rgb="FF000000"/>
      </font>
      <fill>
        <patternFill>
          <fgColor rgb="FFFFFF00"/>
          <bgColor rgb="FFFFFF00"/>
        </patternFill>
      </fill>
      <border/>
    </dxf>
    <dxf>
      <fill>
        <patternFill>
          <bgColor rgb="FF00FF00"/>
        </patternFill>
      </fill>
      <border/>
    </dxf>
    <dxf>
      <fill>
        <patternFill>
          <bgColor rgb="FFFFFF00"/>
        </patternFill>
      </fill>
      <border/>
    </dxf>
    <dxf>
      <fill>
        <patternFill>
          <bgColor rgb="FF00FFFF"/>
        </patternFill>
      </fill>
      <border/>
    </dxf>
    <dxf>
      <fill>
        <patternFill>
          <bgColor rgb="FFFFCC00"/>
        </patternFill>
      </fill>
      <border/>
    </dxf>
    <dxf>
      <fill>
        <patternFill>
          <bgColor rgb="FFCCFFFF"/>
        </patternFill>
      </fill>
      <border/>
    </dxf>
    <dxf>
      <fill>
        <patternFill>
          <bgColor rgb="FFCCFFCC"/>
        </patternFill>
      </fill>
      <border/>
    </dxf>
    <dxf>
      <fill>
        <patternFill>
          <bgColor rgb="FFCC99FF"/>
        </patternFill>
      </fill>
      <border>
        <left style="thin">
          <color rgb="FF000000"/>
        </left>
        <right style="hair">
          <color rgb="FF000000"/>
        </right>
      </border>
    </dxf>
    <dxf>
      <fill>
        <patternFill>
          <bgColor rgb="FFCC99FF"/>
        </patternFill>
      </fill>
      <border>
        <top style="thin"/>
        <bottom style="hair">
          <color rgb="FF000000"/>
        </bottom>
      </border>
    </dxf>
    <dxf>
      <fill>
        <patternFill>
          <bgColor rgb="FFCC99FF"/>
        </patternFill>
      </fill>
      <border>
        <left style="thin">
          <color rgb="FF000000"/>
        </left>
        <right style="hair">
          <color rgb="FF000000"/>
        </right>
        <top style="thin"/>
        <bottom style="hair">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'イベント日程決定表ver2.0'!$Y$16</c:f>
              <c:strCache>
                <c:ptCount val="1"/>
                <c:pt idx="0">
                  <c:v>ポイント</c:v>
                </c:pt>
              </c:strCache>
            </c:strRef>
          </c:tx>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0"/>
          </c:dLbls>
          <c:cat>
            <c:numRef>
              <c:f>'イベント日程決定表ver2.0'!$X$17:$X$20</c:f>
              <c:numCache/>
            </c:numRef>
          </c:cat>
          <c:val>
            <c:numRef>
              <c:f>'イベント日程決定表ver2.0'!$Y$17:$Y$20</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xdr:colOff>
      <xdr:row>43</xdr:row>
      <xdr:rowOff>133350</xdr:rowOff>
    </xdr:from>
    <xdr:to>
      <xdr:col>14</xdr:col>
      <xdr:colOff>85725</xdr:colOff>
      <xdr:row>47</xdr:row>
      <xdr:rowOff>19050</xdr:rowOff>
    </xdr:to>
    <xdr:pic>
      <xdr:nvPicPr>
        <xdr:cNvPr id="1" name="Picture 72"/>
        <xdr:cNvPicPr preferRelativeResize="1">
          <a:picLocks noChangeAspect="1"/>
        </xdr:cNvPicPr>
      </xdr:nvPicPr>
      <xdr:blipFill>
        <a:blip r:embed="rId1"/>
        <a:stretch>
          <a:fillRect/>
        </a:stretch>
      </xdr:blipFill>
      <xdr:spPr>
        <a:xfrm>
          <a:off x="8601075" y="4562475"/>
          <a:ext cx="571500" cy="495300"/>
        </a:xfrm>
        <a:prstGeom prst="rect">
          <a:avLst/>
        </a:prstGeom>
        <a:noFill/>
        <a:ln w="9525" cmpd="sng">
          <a:noFill/>
        </a:ln>
      </xdr:spPr>
    </xdr:pic>
    <xdr:clientData/>
  </xdr:twoCellAnchor>
  <xdr:twoCellAnchor>
    <xdr:from>
      <xdr:col>14</xdr:col>
      <xdr:colOff>476250</xdr:colOff>
      <xdr:row>43</xdr:row>
      <xdr:rowOff>19050</xdr:rowOff>
    </xdr:from>
    <xdr:to>
      <xdr:col>17</xdr:col>
      <xdr:colOff>628650</xdr:colOff>
      <xdr:row>46</xdr:row>
      <xdr:rowOff>114300</xdr:rowOff>
    </xdr:to>
    <xdr:sp>
      <xdr:nvSpPr>
        <xdr:cNvPr id="2" name="AutoShape 78"/>
        <xdr:cNvSpPr>
          <a:spLocks/>
        </xdr:cNvSpPr>
      </xdr:nvSpPr>
      <xdr:spPr>
        <a:xfrm>
          <a:off x="9563100" y="4448175"/>
          <a:ext cx="1343025" cy="552450"/>
        </a:xfrm>
        <a:prstGeom prst="wedgeEllipseCallout">
          <a:avLst>
            <a:gd name="adj1" fmla="val -64287"/>
            <a:gd name="adj2" fmla="val 11819"/>
          </a:avLst>
        </a:prstGeom>
        <a:solidFill>
          <a:srgbClr val="FFFF99"/>
        </a:solidFill>
        <a:ln w="15875" cmpd="sng">
          <a:solidFill>
            <a:srgbClr val="80808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15</xdr:col>
      <xdr:colOff>114300</xdr:colOff>
      <xdr:row>17</xdr:row>
      <xdr:rowOff>66675</xdr:rowOff>
    </xdr:from>
    <xdr:to>
      <xdr:col>19</xdr:col>
      <xdr:colOff>800100</xdr:colOff>
      <xdr:row>44</xdr:row>
      <xdr:rowOff>66675</xdr:rowOff>
    </xdr:to>
    <xdr:graphicFrame>
      <xdr:nvGraphicFramePr>
        <xdr:cNvPr id="3" name="Chart 204"/>
        <xdr:cNvGraphicFramePr/>
      </xdr:nvGraphicFramePr>
      <xdr:xfrm>
        <a:off x="9725025" y="2647950"/>
        <a:ext cx="3619500" cy="1990725"/>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3" name="リスト1" displayName="リスト1" ref="R7:T12" insertRow="1" totalsRowShown="0">
  <autoFilter ref="R7:T12"/>
  <tableColumns count="3">
    <tableColumn id="1" name="ステータス"/>
    <tableColumn id="2" name="説明"/>
    <tableColumn id="3" name="ポイント"/>
  </tableColumns>
  <tableStyleInfo showFirstColumn="0" showLastColumn="0" showRowStripes="1" showColumnStripes="0"/>
</table>
</file>

<file path=xl/tables/table2.xml><?xml version="1.0" encoding="utf-8"?>
<table xmlns="http://schemas.openxmlformats.org/spreadsheetml/2006/main" id="4" name="リスト2" displayName="リスト2" ref="R15:S18" totalsRowShown="0">
  <autoFilter ref="R15:S18"/>
  <tableColumns count="2">
    <tableColumn id="1" name="重み"/>
    <tableColumn id="2" name="説明"/>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3.dion.ne.jp/~sakatsu/holiday_topic.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AG96"/>
  <sheetViews>
    <sheetView tabSelected="1" zoomScaleSheetLayoutView="115" workbookViewId="0" topLeftCell="A1">
      <selection activeCell="A8" sqref="A8:A10"/>
    </sheetView>
  </sheetViews>
  <sheetFormatPr defaultColWidth="9.00390625" defaultRowHeight="12"/>
  <cols>
    <col min="1" max="1" width="15.875" style="0" customWidth="1"/>
    <col min="2" max="2" width="7.875" style="1" customWidth="1"/>
    <col min="3" max="3" width="15.875" style="1" customWidth="1"/>
    <col min="4" max="4" width="5.875" style="1" customWidth="1"/>
    <col min="5" max="5" width="2.875" style="0" customWidth="1"/>
    <col min="6" max="6" width="15.875" style="1" customWidth="1"/>
    <col min="7" max="16" width="6.875" style="1" customWidth="1"/>
    <col min="17" max="17" width="1.875" style="0" customWidth="1"/>
    <col min="18" max="19" width="14.875" style="1" customWidth="1"/>
    <col min="20" max="20" width="10.875" style="0" customWidth="1"/>
    <col min="21" max="22" width="16.875" style="0" customWidth="1"/>
    <col min="23" max="23" width="12.875" style="0" customWidth="1"/>
    <col min="24" max="25" width="14.875" style="0" customWidth="1"/>
    <col min="26" max="26" width="15.875" style="0" customWidth="1"/>
    <col min="27" max="27" width="5.875" style="0" customWidth="1"/>
    <col min="28" max="28" width="18.875" style="0" customWidth="1"/>
    <col min="29" max="29" width="10.125" style="0" bestFit="1" customWidth="1"/>
    <col min="30" max="30" width="12.125" style="0" bestFit="1" customWidth="1"/>
    <col min="31" max="31" width="10.00390625" style="0" bestFit="1" customWidth="1"/>
  </cols>
  <sheetData>
    <row r="1" spans="1:33" ht="12">
      <c r="A1" s="106"/>
      <c r="B1" s="29"/>
      <c r="C1" s="30"/>
      <c r="D1" s="30"/>
      <c r="E1" s="31"/>
      <c r="F1" s="30"/>
      <c r="G1" s="30"/>
      <c r="H1" s="30"/>
      <c r="I1" s="30"/>
      <c r="J1" s="30"/>
      <c r="K1" s="30"/>
      <c r="L1" s="30"/>
      <c r="M1" s="30"/>
      <c r="N1" s="30"/>
      <c r="O1" s="30"/>
      <c r="P1" s="30"/>
      <c r="Q1" s="31"/>
      <c r="R1" s="30"/>
      <c r="S1" s="30"/>
      <c r="T1" s="32"/>
      <c r="U1" s="53"/>
      <c r="V1" s="53"/>
      <c r="W1" s="53"/>
      <c r="X1" s="53"/>
      <c r="Y1" s="53"/>
      <c r="Z1" s="119" t="s">
        <v>112</v>
      </c>
      <c r="AA1" s="65" t="s">
        <v>76</v>
      </c>
      <c r="AB1" s="11"/>
      <c r="AC1" s="11"/>
      <c r="AD1" s="11"/>
      <c r="AE1" s="11"/>
      <c r="AF1" s="11"/>
      <c r="AG1" s="11"/>
    </row>
    <row r="2" spans="1:33" ht="12.75" thickBot="1">
      <c r="A2" s="106"/>
      <c r="B2" s="33"/>
      <c r="C2" s="142"/>
      <c r="D2" s="142"/>
      <c r="E2" s="142"/>
      <c r="F2" s="142"/>
      <c r="G2" s="142"/>
      <c r="H2" s="142"/>
      <c r="I2" s="142"/>
      <c r="J2" s="142"/>
      <c r="K2" s="142"/>
      <c r="L2" s="142"/>
      <c r="M2" s="142"/>
      <c r="N2" s="142"/>
      <c r="O2" s="142"/>
      <c r="P2" s="142"/>
      <c r="Q2" s="142"/>
      <c r="R2" s="142"/>
      <c r="S2" s="34"/>
      <c r="T2" s="35"/>
      <c r="U2" s="117"/>
      <c r="V2" s="53"/>
      <c r="W2" s="53"/>
      <c r="X2" s="53"/>
      <c r="Y2" s="53"/>
      <c r="Z2" s="119"/>
      <c r="AA2" s="11"/>
      <c r="AB2" s="11"/>
      <c r="AC2" s="11"/>
      <c r="AD2" s="11"/>
      <c r="AE2" s="11"/>
      <c r="AF2" s="11"/>
      <c r="AG2" s="11"/>
    </row>
    <row r="3" spans="1:33" ht="11.25" customHeight="1" thickBot="1">
      <c r="A3" s="53"/>
      <c r="B3" s="33"/>
      <c r="C3" s="142"/>
      <c r="D3" s="142"/>
      <c r="E3" s="142"/>
      <c r="F3" s="142"/>
      <c r="G3" s="142"/>
      <c r="H3" s="142"/>
      <c r="I3" s="142"/>
      <c r="J3" s="142"/>
      <c r="K3" s="142"/>
      <c r="L3" s="142"/>
      <c r="M3" s="142"/>
      <c r="N3" s="142"/>
      <c r="O3" s="142"/>
      <c r="P3" s="142"/>
      <c r="Q3" s="142"/>
      <c r="R3" s="142"/>
      <c r="S3" s="34"/>
      <c r="T3" s="35"/>
      <c r="U3" s="53"/>
      <c r="V3" s="53"/>
      <c r="W3" s="53"/>
      <c r="X3" s="53"/>
      <c r="Y3" s="53"/>
      <c r="Z3" s="119"/>
      <c r="AA3" s="11"/>
      <c r="AB3" s="73" t="s">
        <v>71</v>
      </c>
      <c r="AC3" s="74">
        <f ca="1">YEAR(TODAY())</f>
        <v>2007</v>
      </c>
      <c r="AD3" s="11"/>
      <c r="AE3" s="11"/>
      <c r="AF3" s="11"/>
      <c r="AG3" s="11"/>
    </row>
    <row r="4" spans="1:33" ht="11.25" customHeight="1">
      <c r="A4" s="123" t="s">
        <v>106</v>
      </c>
      <c r="B4" s="33"/>
      <c r="C4" s="142"/>
      <c r="D4" s="142"/>
      <c r="E4" s="142"/>
      <c r="F4" s="142"/>
      <c r="G4" s="142"/>
      <c r="H4" s="142"/>
      <c r="I4" s="142"/>
      <c r="J4" s="142"/>
      <c r="K4" s="142"/>
      <c r="L4" s="142"/>
      <c r="M4" s="142"/>
      <c r="N4" s="142"/>
      <c r="O4" s="142"/>
      <c r="P4" s="142"/>
      <c r="Q4" s="142"/>
      <c r="R4" s="142"/>
      <c r="S4" s="34"/>
      <c r="T4" s="35"/>
      <c r="U4" s="53"/>
      <c r="V4" s="53"/>
      <c r="W4" s="53"/>
      <c r="X4" s="53"/>
      <c r="Y4" s="53"/>
      <c r="Z4" s="119"/>
      <c r="AA4" s="11" t="s">
        <v>82</v>
      </c>
      <c r="AB4" s="70" t="s">
        <v>54</v>
      </c>
      <c r="AC4" s="72">
        <f ca="1">DATE(IF(MONTH(TODAY())&gt;10,$AC$3+1,$AC$3),1,1)</f>
        <v>39448</v>
      </c>
      <c r="AD4" s="11"/>
      <c r="AE4" s="11"/>
      <c r="AF4" s="11"/>
      <c r="AG4" s="11"/>
    </row>
    <row r="5" spans="1:33" ht="11.25" customHeight="1">
      <c r="A5" s="123"/>
      <c r="B5" s="33"/>
      <c r="C5" s="34"/>
      <c r="D5" s="34"/>
      <c r="E5" s="34"/>
      <c r="F5" s="34"/>
      <c r="G5" s="34"/>
      <c r="H5" s="34"/>
      <c r="I5" s="34"/>
      <c r="J5" s="34"/>
      <c r="K5" s="34"/>
      <c r="L5" s="34"/>
      <c r="M5" s="34"/>
      <c r="N5" s="34"/>
      <c r="O5" s="34"/>
      <c r="P5" s="34"/>
      <c r="Q5" s="34"/>
      <c r="R5" s="34"/>
      <c r="S5" s="34"/>
      <c r="T5" s="35"/>
      <c r="U5" s="53"/>
      <c r="V5" s="53"/>
      <c r="W5" s="53"/>
      <c r="X5" s="53"/>
      <c r="Y5" s="53"/>
      <c r="Z5" s="119"/>
      <c r="AA5" s="11" t="s">
        <v>82</v>
      </c>
      <c r="AB5" s="70" t="s">
        <v>69</v>
      </c>
      <c r="AC5" s="72">
        <f ca="1">DATE(IF(MONTH(TODAY())&gt;10,$AC$3+1,$AC$3),1,2)</f>
        <v>39449</v>
      </c>
      <c r="AD5" s="11"/>
      <c r="AE5" s="11"/>
      <c r="AF5" s="11"/>
      <c r="AG5" s="11"/>
    </row>
    <row r="6" spans="1:33" ht="12">
      <c r="A6" s="123"/>
      <c r="B6" s="33"/>
      <c r="C6" s="34"/>
      <c r="D6" s="34"/>
      <c r="E6" s="36"/>
      <c r="F6" s="34"/>
      <c r="G6" s="34"/>
      <c r="H6" s="34"/>
      <c r="I6" s="34"/>
      <c r="J6" s="34"/>
      <c r="K6" s="34"/>
      <c r="L6" s="34"/>
      <c r="M6" s="34"/>
      <c r="N6" s="34"/>
      <c r="O6" s="34"/>
      <c r="P6" s="34"/>
      <c r="Q6" s="36"/>
      <c r="R6" s="34"/>
      <c r="S6" s="34"/>
      <c r="T6" s="35"/>
      <c r="U6" s="53"/>
      <c r="V6" s="53"/>
      <c r="W6" s="53"/>
      <c r="X6" s="53"/>
      <c r="Y6" s="53"/>
      <c r="Z6" s="119"/>
      <c r="AA6" s="11" t="s">
        <v>82</v>
      </c>
      <c r="AB6" s="70" t="s">
        <v>70</v>
      </c>
      <c r="AC6" s="72">
        <f ca="1">DATE(IF(MONTH(TODAY())&gt;10,$AC$3+1,$AC$3),1,3)</f>
        <v>39450</v>
      </c>
      <c r="AD6" s="11"/>
      <c r="AE6" s="11"/>
      <c r="AF6" s="11"/>
      <c r="AG6" s="11"/>
    </row>
    <row r="7" spans="1:33" ht="12.75" thickBot="1">
      <c r="A7" s="124"/>
      <c r="B7" s="33" t="s">
        <v>1</v>
      </c>
      <c r="C7" s="34" t="s">
        <v>0</v>
      </c>
      <c r="D7" s="34" t="s">
        <v>11</v>
      </c>
      <c r="E7" s="36"/>
      <c r="F7" s="34"/>
      <c r="G7" s="102">
        <f>IF(ISERROR(S31),"",IF(S31=50000,"",S31))</f>
      </c>
      <c r="H7" s="102">
        <f>IF(ISERROR(S32),"",IF(S32=50000,"",S32))</f>
      </c>
      <c r="I7" s="102">
        <f>IF(ISERROR(S33),"",IF(S33=50000,"",S33))</f>
      </c>
      <c r="J7" s="102">
        <f>IF(ISERROR(S34),"",IF(S34=50000,"",S34))</f>
      </c>
      <c r="K7" s="102">
        <f>IF(ISERROR(S35),"",IF(S35=50000,"",S35))</f>
      </c>
      <c r="L7" s="102">
        <f>IF(ISERROR(S36),"",IF(S36=50000,"",S36))</f>
      </c>
      <c r="M7" s="102">
        <f>IF(ISERROR(S37),"",IF(S37=50000,"",S37))</f>
      </c>
      <c r="N7" s="102">
        <f>IF(ISERROR(S38),"",IF(S38=50000,"",S38))</f>
      </c>
      <c r="O7" s="102">
        <f>IF(ISERROR(S39),"",IF(S39=50000,"",S39))</f>
      </c>
      <c r="P7" s="12">
        <f>IF(ISERROR(S40),"",IF(S40=50000,"",S40))</f>
      </c>
      <c r="Q7" s="36"/>
      <c r="R7" s="20" t="s">
        <v>2</v>
      </c>
      <c r="S7" s="22" t="s">
        <v>7</v>
      </c>
      <c r="T7" s="37" t="s">
        <v>18</v>
      </c>
      <c r="U7" s="53"/>
      <c r="V7" s="54"/>
      <c r="W7" s="54"/>
      <c r="X7" s="53"/>
      <c r="Y7" s="53"/>
      <c r="Z7" s="119"/>
      <c r="AA7" s="11"/>
      <c r="AB7" s="70" t="s">
        <v>55</v>
      </c>
      <c r="AC7" s="72">
        <f ca="1">DATE(IF(MONTH(TODAY())&gt;10,$AC$3+1,$AC$3),1,14-WEEKDAY(DATE($AC$3,1,7),3))</f>
        <v>39455</v>
      </c>
      <c r="AD7" s="11"/>
      <c r="AE7" s="11"/>
      <c r="AF7" s="11"/>
      <c r="AG7" s="11"/>
    </row>
    <row r="8" spans="1:33" ht="12">
      <c r="A8" s="128" t="s">
        <v>143</v>
      </c>
      <c r="B8" s="38"/>
      <c r="C8" s="109"/>
      <c r="D8" s="2"/>
      <c r="E8" s="36"/>
      <c r="F8" s="107">
        <f>IF(ISBLANK(C8),"",C8)</f>
      </c>
      <c r="G8" s="98"/>
      <c r="H8" s="98"/>
      <c r="I8" s="98"/>
      <c r="J8" s="98"/>
      <c r="K8" s="98"/>
      <c r="L8" s="98"/>
      <c r="M8" s="98"/>
      <c r="N8" s="98"/>
      <c r="O8" s="98"/>
      <c r="P8" s="98"/>
      <c r="Q8" s="36"/>
      <c r="R8" s="24" t="s">
        <v>3</v>
      </c>
      <c r="S8" s="26" t="s">
        <v>8</v>
      </c>
      <c r="T8" s="39">
        <v>4</v>
      </c>
      <c r="U8" s="53"/>
      <c r="V8" s="53"/>
      <c r="W8" s="53"/>
      <c r="X8" s="53"/>
      <c r="Y8" s="53"/>
      <c r="Z8" s="119"/>
      <c r="AA8" s="11" t="s">
        <v>77</v>
      </c>
      <c r="AB8" s="70" t="s">
        <v>56</v>
      </c>
      <c r="AC8" s="72">
        <f ca="1">DATE(IF(MONTH(TODAY())&gt;10,$AC$3+1,$AC$3),2,11)</f>
        <v>39489</v>
      </c>
      <c r="AD8" s="11"/>
      <c r="AE8" s="11"/>
      <c r="AF8" s="11"/>
      <c r="AG8" s="11"/>
    </row>
    <row r="9" spans="1:33" ht="12">
      <c r="A9" s="129"/>
      <c r="B9" s="40"/>
      <c r="C9" s="110"/>
      <c r="D9" s="3"/>
      <c r="E9" s="36"/>
      <c r="F9" s="107">
        <f aca="true" t="shared" si="0" ref="F9:F27">IF(ISBLANK(C9),"",C9)</f>
      </c>
      <c r="G9" s="98"/>
      <c r="H9" s="98"/>
      <c r="I9" s="98"/>
      <c r="J9" s="98"/>
      <c r="K9" s="98"/>
      <c r="L9" s="98"/>
      <c r="M9" s="98"/>
      <c r="N9" s="98"/>
      <c r="O9" s="98"/>
      <c r="P9" s="98"/>
      <c r="Q9" s="36"/>
      <c r="R9" s="24" t="s">
        <v>4</v>
      </c>
      <c r="S9" s="26" t="s">
        <v>9</v>
      </c>
      <c r="T9" s="39">
        <v>2</v>
      </c>
      <c r="U9" s="53"/>
      <c r="V9" s="53"/>
      <c r="W9" s="53"/>
      <c r="X9" s="53"/>
      <c r="Y9" s="53"/>
      <c r="Z9" s="119"/>
      <c r="AA9" s="11" t="s">
        <v>77</v>
      </c>
      <c r="AB9" s="70" t="s">
        <v>57</v>
      </c>
      <c r="AC9" s="72">
        <f>DATE($AC$3,3,INT(20.8431+0.242194*($AC$3-1980)-INT(($AC$3-1980)/4)))</f>
        <v>39162</v>
      </c>
      <c r="AD9" s="11"/>
      <c r="AE9" s="11"/>
      <c r="AF9" s="11"/>
      <c r="AG9" s="11"/>
    </row>
    <row r="10" spans="1:33" ht="12.75" thickBot="1">
      <c r="A10" s="130"/>
      <c r="B10" s="40"/>
      <c r="C10" s="110"/>
      <c r="D10" s="3"/>
      <c r="E10" s="36"/>
      <c r="F10" s="107">
        <f t="shared" si="0"/>
      </c>
      <c r="G10" s="98"/>
      <c r="H10" s="98"/>
      <c r="I10" s="98"/>
      <c r="J10" s="98"/>
      <c r="K10" s="98"/>
      <c r="L10" s="98"/>
      <c r="M10" s="98"/>
      <c r="N10" s="98"/>
      <c r="O10" s="98"/>
      <c r="P10" s="98"/>
      <c r="Q10" s="36"/>
      <c r="R10" s="24" t="s">
        <v>5</v>
      </c>
      <c r="S10" s="26" t="s">
        <v>14</v>
      </c>
      <c r="T10" s="41">
        <v>0</v>
      </c>
      <c r="U10" s="53"/>
      <c r="V10" s="53"/>
      <c r="W10" s="53"/>
      <c r="X10" s="53"/>
      <c r="Y10" s="53"/>
      <c r="Z10" s="119"/>
      <c r="AA10" s="11" t="s">
        <v>78</v>
      </c>
      <c r="AB10" s="70" t="s">
        <v>58</v>
      </c>
      <c r="AC10" s="72">
        <f>DATE($AC$3,4,29)</f>
        <v>39201</v>
      </c>
      <c r="AD10" s="11"/>
      <c r="AE10" s="11"/>
      <c r="AF10" s="11"/>
      <c r="AG10" s="11"/>
    </row>
    <row r="11" spans="1:33" ht="12">
      <c r="A11" s="53"/>
      <c r="B11" s="40"/>
      <c r="C11" s="110"/>
      <c r="D11" s="3"/>
      <c r="E11" s="36"/>
      <c r="F11" s="107">
        <f t="shared" si="0"/>
      </c>
      <c r="G11" s="98"/>
      <c r="H11" s="98"/>
      <c r="I11" s="98"/>
      <c r="J11" s="98"/>
      <c r="K11" s="98"/>
      <c r="L11" s="98"/>
      <c r="M11" s="98"/>
      <c r="N11" s="98"/>
      <c r="O11" s="98"/>
      <c r="P11" s="98"/>
      <c r="Q11" s="36"/>
      <c r="R11" s="24" t="s">
        <v>6</v>
      </c>
      <c r="S11" s="26" t="s">
        <v>10</v>
      </c>
      <c r="T11" s="39">
        <v>-2</v>
      </c>
      <c r="U11" s="53"/>
      <c r="V11" s="53"/>
      <c r="W11" s="53"/>
      <c r="X11" s="53"/>
      <c r="Y11" s="53"/>
      <c r="Z11" s="119"/>
      <c r="AA11" s="11" t="s">
        <v>78</v>
      </c>
      <c r="AB11" s="70" t="s">
        <v>59</v>
      </c>
      <c r="AC11" s="72">
        <f>DATE($AC$3,5,3)</f>
        <v>39205</v>
      </c>
      <c r="AD11" s="11"/>
      <c r="AE11" s="11"/>
      <c r="AF11" s="11"/>
      <c r="AG11" s="11"/>
    </row>
    <row r="12" spans="1:33" ht="11.25" customHeight="1">
      <c r="A12" s="123" t="s">
        <v>107</v>
      </c>
      <c r="B12" s="40"/>
      <c r="C12" s="110"/>
      <c r="D12" s="3"/>
      <c r="E12" s="36"/>
      <c r="F12" s="107">
        <f t="shared" si="0"/>
      </c>
      <c r="G12" s="98"/>
      <c r="H12" s="98"/>
      <c r="I12" s="98"/>
      <c r="J12" s="98"/>
      <c r="K12" s="98"/>
      <c r="L12" s="98"/>
      <c r="M12" s="98"/>
      <c r="N12" s="98"/>
      <c r="O12" s="98"/>
      <c r="P12" s="98"/>
      <c r="Q12" s="36"/>
      <c r="R12" s="25" t="s">
        <v>20</v>
      </c>
      <c r="S12" s="27" t="s">
        <v>19</v>
      </c>
      <c r="T12" s="42">
        <v>0</v>
      </c>
      <c r="U12" s="53"/>
      <c r="V12" s="53"/>
      <c r="W12" s="53"/>
      <c r="X12" s="53"/>
      <c r="Y12" s="53"/>
      <c r="Z12" s="119"/>
      <c r="AA12" s="11" t="s">
        <v>79</v>
      </c>
      <c r="AB12" s="70" t="s">
        <v>73</v>
      </c>
      <c r="AC12" s="72">
        <f>DATE($AC$3,5,4)</f>
        <v>39206</v>
      </c>
      <c r="AD12" s="11"/>
      <c r="AE12" s="11"/>
      <c r="AF12" s="11"/>
      <c r="AG12" s="11"/>
    </row>
    <row r="13" spans="1:33" ht="12">
      <c r="A13" s="123"/>
      <c r="B13" s="40"/>
      <c r="C13" s="110"/>
      <c r="D13" s="3"/>
      <c r="E13" s="36"/>
      <c r="F13" s="107">
        <f t="shared" si="0"/>
      </c>
      <c r="G13" s="98"/>
      <c r="H13" s="98"/>
      <c r="I13" s="98"/>
      <c r="J13" s="98"/>
      <c r="K13" s="98"/>
      <c r="L13" s="98"/>
      <c r="M13" s="98"/>
      <c r="N13" s="98"/>
      <c r="O13" s="98"/>
      <c r="P13" s="98"/>
      <c r="Q13" s="36"/>
      <c r="R13" s="36"/>
      <c r="S13" s="36"/>
      <c r="T13" s="35"/>
      <c r="U13" s="53"/>
      <c r="V13" s="53"/>
      <c r="W13" s="53"/>
      <c r="X13" s="53"/>
      <c r="Y13" s="53"/>
      <c r="Z13" s="119"/>
      <c r="AA13" s="11" t="s">
        <v>78</v>
      </c>
      <c r="AB13" s="70" t="s">
        <v>60</v>
      </c>
      <c r="AC13" s="72">
        <f>DATE($AC$3,5,5)</f>
        <v>39207</v>
      </c>
      <c r="AD13" s="11"/>
      <c r="AE13" s="11"/>
      <c r="AF13" s="11"/>
      <c r="AG13" s="11"/>
    </row>
    <row r="14" spans="1:33" ht="11.25" customHeight="1" thickBot="1">
      <c r="A14" s="124"/>
      <c r="B14" s="40"/>
      <c r="C14" s="110"/>
      <c r="D14" s="3"/>
      <c r="E14" s="36"/>
      <c r="F14" s="107">
        <f t="shared" si="0"/>
      </c>
      <c r="G14" s="98"/>
      <c r="H14" s="98"/>
      <c r="I14" s="98"/>
      <c r="J14" s="98"/>
      <c r="K14" s="98"/>
      <c r="L14" s="98"/>
      <c r="M14" s="98"/>
      <c r="N14" s="98"/>
      <c r="O14" s="98"/>
      <c r="P14" s="98"/>
      <c r="Q14" s="36"/>
      <c r="R14" s="36"/>
      <c r="S14" s="36"/>
      <c r="T14" s="35"/>
      <c r="U14" s="53"/>
      <c r="V14" s="53"/>
      <c r="W14" s="53"/>
      <c r="X14" s="53"/>
      <c r="Y14" s="53"/>
      <c r="Z14" s="119"/>
      <c r="AA14" s="11"/>
      <c r="AB14" s="70" t="s">
        <v>61</v>
      </c>
      <c r="AC14" s="72">
        <f>DATE($AC$2,7,21-WEEKDAY(DATE(AC$3,7,7),3))</f>
        <v>198</v>
      </c>
      <c r="AD14" s="11"/>
      <c r="AE14" s="11"/>
      <c r="AF14" s="11"/>
      <c r="AG14" s="11"/>
    </row>
    <row r="15" spans="1:33" ht="12">
      <c r="A15" s="125" t="s">
        <v>103</v>
      </c>
      <c r="B15" s="40"/>
      <c r="C15" s="110"/>
      <c r="D15" s="3"/>
      <c r="E15" s="36"/>
      <c r="F15" s="107">
        <f t="shared" si="0"/>
      </c>
      <c r="G15" s="98"/>
      <c r="H15" s="98"/>
      <c r="I15" s="98"/>
      <c r="J15" s="98"/>
      <c r="K15" s="98"/>
      <c r="L15" s="98"/>
      <c r="M15" s="98"/>
      <c r="N15" s="98"/>
      <c r="O15" s="98"/>
      <c r="P15" s="98"/>
      <c r="Q15" s="36"/>
      <c r="R15" s="20" t="s">
        <v>11</v>
      </c>
      <c r="S15" s="22" t="s">
        <v>7</v>
      </c>
      <c r="T15" s="35"/>
      <c r="U15" s="53"/>
      <c r="V15" s="53"/>
      <c r="W15" s="53"/>
      <c r="X15" s="114" t="s">
        <v>135</v>
      </c>
      <c r="Y15" s="114"/>
      <c r="Z15" s="119" t="e">
        <f ca="1">$R$41-WEEKDAY(TODAY())</f>
        <v>#VALUE!</v>
      </c>
      <c r="AA15" s="11"/>
      <c r="AB15" s="70" t="s">
        <v>62</v>
      </c>
      <c r="AC15" s="72">
        <f>DATE($AC$2,9,21-WEEKDAY(DATE(AC$3,9,7),3))</f>
        <v>261</v>
      </c>
      <c r="AD15" s="11"/>
      <c r="AE15" s="11"/>
      <c r="AF15" s="11"/>
      <c r="AG15" s="11"/>
    </row>
    <row r="16" spans="1:33" ht="12">
      <c r="A16" s="126"/>
      <c r="B16" s="40"/>
      <c r="C16" s="110"/>
      <c r="D16" s="3"/>
      <c r="E16" s="36"/>
      <c r="F16" s="107">
        <f t="shared" si="0"/>
      </c>
      <c r="G16" s="98"/>
      <c r="H16" s="98"/>
      <c r="I16" s="98"/>
      <c r="J16" s="98"/>
      <c r="K16" s="98"/>
      <c r="L16" s="98"/>
      <c r="M16" s="98"/>
      <c r="N16" s="98"/>
      <c r="O16" s="98"/>
      <c r="P16" s="98"/>
      <c r="Q16" s="36"/>
      <c r="R16" s="21" t="s">
        <v>12</v>
      </c>
      <c r="S16" s="23" t="s">
        <v>15</v>
      </c>
      <c r="T16" s="35"/>
      <c r="U16" s="53"/>
      <c r="V16" s="53"/>
      <c r="W16" s="53"/>
      <c r="X16" s="114" t="s">
        <v>35</v>
      </c>
      <c r="Y16" s="114" t="s">
        <v>136</v>
      </c>
      <c r="Z16" s="119"/>
      <c r="AA16" s="11"/>
      <c r="AB16" s="70" t="s">
        <v>72</v>
      </c>
      <c r="AC16" s="72">
        <f>IF(WEEKDAY($AC$17)=4,$AC$15+1,50000)</f>
        <v>50000</v>
      </c>
      <c r="AD16" s="11"/>
      <c r="AE16" s="11"/>
      <c r="AF16" s="11"/>
      <c r="AG16" s="11"/>
    </row>
    <row r="17" spans="1:33" ht="12.75" thickBot="1">
      <c r="A17" s="127"/>
      <c r="B17" s="40"/>
      <c r="C17" s="110"/>
      <c r="D17" s="3"/>
      <c r="E17" s="36"/>
      <c r="F17" s="107">
        <f t="shared" si="0"/>
      </c>
      <c r="G17" s="98"/>
      <c r="H17" s="98"/>
      <c r="I17" s="98"/>
      <c r="J17" s="98"/>
      <c r="K17" s="98"/>
      <c r="L17" s="98"/>
      <c r="M17" s="98"/>
      <c r="N17" s="98"/>
      <c r="O17" s="98"/>
      <c r="P17" s="98"/>
      <c r="Q17" s="36"/>
      <c r="R17" s="21" t="s">
        <v>109</v>
      </c>
      <c r="S17" s="23"/>
      <c r="T17" s="35"/>
      <c r="U17" s="53"/>
      <c r="V17" s="53"/>
      <c r="W17" s="53"/>
      <c r="X17" s="115">
        <f>IF(Y17="0","",CHOOSE(MATCH(LARGE(B31:B40,1),B31:B40,0),C31,C32,C33,C34,C35,C36,C37,C38,C39,C40))</f>
      </c>
      <c r="Y17" s="116">
        <f>POWER(LARGE(B31:B40,1),2)</f>
        <v>0</v>
      </c>
      <c r="Z17" s="104" t="e">
        <f ca="1">IF(Z15&gt;=2,TODAY()+Z15,IF(Z15=-6,TODAY()+8,TODAY()+7+Z15))</f>
        <v>#VALUE!</v>
      </c>
      <c r="AA17" s="11" t="s">
        <v>78</v>
      </c>
      <c r="AB17" s="70" t="s">
        <v>63</v>
      </c>
      <c r="AC17" s="72">
        <f>DATE($AC$3,9,INT(23.2488+0.242194*($AC$3-1980)-INT(($AC$3-1980)/4)))</f>
        <v>39348</v>
      </c>
      <c r="AD17" s="11"/>
      <c r="AE17" s="11"/>
      <c r="AF17" s="11"/>
      <c r="AG17" s="11"/>
    </row>
    <row r="18" spans="1:33" ht="11.25" customHeight="1">
      <c r="A18" s="145" t="s">
        <v>94</v>
      </c>
      <c r="B18" s="43"/>
      <c r="C18" s="111"/>
      <c r="D18" s="3"/>
      <c r="E18" s="36"/>
      <c r="F18" s="107">
        <f t="shared" si="0"/>
      </c>
      <c r="G18" s="98"/>
      <c r="H18" s="98"/>
      <c r="I18" s="98"/>
      <c r="J18" s="98"/>
      <c r="K18" s="98"/>
      <c r="L18" s="98"/>
      <c r="M18" s="98"/>
      <c r="N18" s="98"/>
      <c r="O18" s="98"/>
      <c r="P18" s="98"/>
      <c r="Q18" s="36"/>
      <c r="R18" s="9" t="s">
        <v>13</v>
      </c>
      <c r="S18" s="28" t="s">
        <v>16</v>
      </c>
      <c r="T18" s="35"/>
      <c r="U18" s="53"/>
      <c r="V18" s="53"/>
      <c r="W18" s="53"/>
      <c r="X18" s="115">
        <f>IF(Y18="0","",CHOOSE(MATCH(LARGE(B31:B40,2),B31:B40,0),C31,C32,C33,C34,C35,C36,C37,C38,C39,C40))</f>
      </c>
      <c r="Y18" s="116">
        <f>POWER(LARGE(B31:B40,2),2)</f>
        <v>0</v>
      </c>
      <c r="Z18" s="104" t="e">
        <f aca="true" t="shared" si="1" ref="Z18:Z24">Z17+7</f>
        <v>#VALUE!</v>
      </c>
      <c r="AA18" s="11"/>
      <c r="AB18" s="70" t="s">
        <v>64</v>
      </c>
      <c r="AC18" s="72">
        <f>DATE($AC$3,10,14-WEEKDAY(DATE($AC$3,10,7),3))</f>
        <v>39363</v>
      </c>
      <c r="AD18" s="11"/>
      <c r="AE18" s="11"/>
      <c r="AF18" s="11"/>
      <c r="AG18" s="11"/>
    </row>
    <row r="19" spans="1:33" ht="12">
      <c r="A19" s="146"/>
      <c r="B19" s="44"/>
      <c r="C19" s="111"/>
      <c r="D19" s="3"/>
      <c r="E19" s="36"/>
      <c r="F19" s="107">
        <f t="shared" si="0"/>
      </c>
      <c r="G19" s="98"/>
      <c r="H19" s="98"/>
      <c r="I19" s="98"/>
      <c r="J19" s="98"/>
      <c r="K19" s="98"/>
      <c r="L19" s="98"/>
      <c r="M19" s="98"/>
      <c r="N19" s="98"/>
      <c r="O19" s="98"/>
      <c r="P19" s="98"/>
      <c r="Q19" s="36"/>
      <c r="R19" s="11"/>
      <c r="S19" s="11"/>
      <c r="T19" s="35"/>
      <c r="U19" s="53"/>
      <c r="V19" s="53"/>
      <c r="W19" s="53"/>
      <c r="X19" s="115">
        <f>IF(Y19="0","",CHOOSE(MATCH(LARGE(B31:B40,3),B31:B40,0),C31,C32,C33,C34,C35,C36,C37,C38,C39,C40))</f>
      </c>
      <c r="Y19" s="116">
        <f>POWER(LARGE(B31:B40,3),2)</f>
        <v>0</v>
      </c>
      <c r="Z19" s="104" t="e">
        <f t="shared" si="1"/>
        <v>#VALUE!</v>
      </c>
      <c r="AA19" s="11" t="s">
        <v>78</v>
      </c>
      <c r="AB19" s="70" t="s">
        <v>65</v>
      </c>
      <c r="AC19" s="72">
        <f>DATE($AC$3,11,3)</f>
        <v>39389</v>
      </c>
      <c r="AD19" s="86"/>
      <c r="AE19" s="11"/>
      <c r="AF19" s="11"/>
      <c r="AG19" s="11"/>
    </row>
    <row r="20" spans="1:33" ht="12">
      <c r="A20" s="146"/>
      <c r="B20" s="44"/>
      <c r="C20" s="111"/>
      <c r="D20" s="3"/>
      <c r="E20" s="36"/>
      <c r="F20" s="107">
        <f t="shared" si="0"/>
      </c>
      <c r="G20" s="98"/>
      <c r="H20" s="98"/>
      <c r="I20" s="98"/>
      <c r="J20" s="98"/>
      <c r="K20" s="98"/>
      <c r="L20" s="98"/>
      <c r="M20" s="98"/>
      <c r="N20" s="98"/>
      <c r="O20" s="98"/>
      <c r="P20" s="98"/>
      <c r="Q20" s="36"/>
      <c r="R20" s="36"/>
      <c r="S20" s="36"/>
      <c r="T20" s="35"/>
      <c r="U20" s="53"/>
      <c r="V20" s="53"/>
      <c r="W20" s="53"/>
      <c r="X20" s="115">
        <f>IF(Y20="0","",CHOOSE(MATCH(LARGE(B31:B40,4),B31:B40,0),C31,C32,C33,C34,C35,C36,C37,C38,C39,C40))</f>
      </c>
      <c r="Y20" s="116">
        <f>POWER(LARGE(B31:B40,4),2)</f>
        <v>0</v>
      </c>
      <c r="Z20" s="104" t="e">
        <f t="shared" si="1"/>
        <v>#VALUE!</v>
      </c>
      <c r="AA20" s="11" t="s">
        <v>78</v>
      </c>
      <c r="AB20" s="70" t="s">
        <v>66</v>
      </c>
      <c r="AC20" s="72">
        <f>DATE($AC$3,11,23)</f>
        <v>39409</v>
      </c>
      <c r="AD20" s="11"/>
      <c r="AE20" s="11"/>
      <c r="AF20" s="11"/>
      <c r="AG20" s="11"/>
    </row>
    <row r="21" spans="1:33" ht="12.75" thickBot="1">
      <c r="A21" s="146"/>
      <c r="B21" s="44"/>
      <c r="C21" s="111"/>
      <c r="D21" s="3"/>
      <c r="E21" s="36"/>
      <c r="F21" s="107">
        <f t="shared" si="0"/>
      </c>
      <c r="G21" s="98"/>
      <c r="H21" s="98"/>
      <c r="I21" s="98"/>
      <c r="J21" s="98"/>
      <c r="K21" s="98"/>
      <c r="L21" s="98"/>
      <c r="M21" s="98"/>
      <c r="N21" s="98"/>
      <c r="O21" s="98"/>
      <c r="P21" s="98"/>
      <c r="Q21" s="36"/>
      <c r="R21" s="34"/>
      <c r="S21" s="34"/>
      <c r="T21" s="35"/>
      <c r="U21" s="53"/>
      <c r="V21" s="53"/>
      <c r="W21" s="53"/>
      <c r="X21" s="115"/>
      <c r="Y21" s="116"/>
      <c r="Z21" s="104" t="e">
        <f t="shared" si="1"/>
        <v>#VALUE!</v>
      </c>
      <c r="AA21" s="11" t="s">
        <v>78</v>
      </c>
      <c r="AB21" s="71" t="s">
        <v>67</v>
      </c>
      <c r="AC21" s="81">
        <f>DATE($AC$3,12,23)</f>
        <v>39439</v>
      </c>
      <c r="AD21" s="11"/>
      <c r="AE21" s="11"/>
      <c r="AF21" s="11"/>
      <c r="AG21" s="11"/>
    </row>
    <row r="22" spans="1:33" ht="12">
      <c r="A22" s="146"/>
      <c r="B22" s="33"/>
      <c r="C22" s="110"/>
      <c r="D22" s="3"/>
      <c r="E22" s="36"/>
      <c r="F22" s="107">
        <f t="shared" si="0"/>
      </c>
      <c r="G22" s="98"/>
      <c r="H22" s="98"/>
      <c r="I22" s="98"/>
      <c r="J22" s="98"/>
      <c r="K22" s="98"/>
      <c r="L22" s="98"/>
      <c r="M22" s="98"/>
      <c r="N22" s="98"/>
      <c r="O22" s="98"/>
      <c r="P22" s="98"/>
      <c r="Q22" s="36"/>
      <c r="R22" s="34"/>
      <c r="S22" s="34"/>
      <c r="T22" s="35"/>
      <c r="U22" s="53"/>
      <c r="V22" s="53"/>
      <c r="W22" s="53"/>
      <c r="X22" s="115"/>
      <c r="Y22" s="116"/>
      <c r="Z22" s="104" t="e">
        <f t="shared" si="1"/>
        <v>#VALUE!</v>
      </c>
      <c r="AA22" s="11"/>
      <c r="AB22" s="11"/>
      <c r="AC22" s="11"/>
      <c r="AD22" s="11"/>
      <c r="AE22" s="11"/>
      <c r="AF22" s="11"/>
      <c r="AG22" s="11"/>
    </row>
    <row r="23" spans="1:33" ht="12">
      <c r="A23" s="100"/>
      <c r="B23" s="33"/>
      <c r="C23" s="110"/>
      <c r="D23" s="3"/>
      <c r="E23" s="36"/>
      <c r="F23" s="107">
        <f t="shared" si="0"/>
      </c>
      <c r="G23" s="98"/>
      <c r="H23" s="98"/>
      <c r="I23" s="98"/>
      <c r="J23" s="98"/>
      <c r="K23" s="98"/>
      <c r="L23" s="98"/>
      <c r="M23" s="98"/>
      <c r="N23" s="98"/>
      <c r="O23" s="98"/>
      <c r="P23" s="98"/>
      <c r="Q23" s="36"/>
      <c r="R23" s="34"/>
      <c r="S23" s="34"/>
      <c r="T23" s="35"/>
      <c r="U23" s="53"/>
      <c r="V23" s="53"/>
      <c r="W23" s="53"/>
      <c r="X23" s="115"/>
      <c r="Y23" s="116"/>
      <c r="Z23" s="104" t="e">
        <f t="shared" si="1"/>
        <v>#VALUE!</v>
      </c>
      <c r="AA23" s="11" t="s">
        <v>91</v>
      </c>
      <c r="AB23" s="11"/>
      <c r="AC23" s="11"/>
      <c r="AD23" s="11"/>
      <c r="AE23" s="11"/>
      <c r="AF23" s="11"/>
      <c r="AG23" s="11"/>
    </row>
    <row r="24" spans="1:33" ht="12">
      <c r="A24" s="147" t="s">
        <v>108</v>
      </c>
      <c r="B24" s="101"/>
      <c r="C24" s="110"/>
      <c r="D24" s="3"/>
      <c r="E24" s="36"/>
      <c r="F24" s="107">
        <f t="shared" si="0"/>
      </c>
      <c r="G24" s="98"/>
      <c r="H24" s="98"/>
      <c r="I24" s="98"/>
      <c r="J24" s="98"/>
      <c r="K24" s="98"/>
      <c r="L24" s="98"/>
      <c r="M24" s="98"/>
      <c r="N24" s="98"/>
      <c r="O24" s="98"/>
      <c r="P24" s="98"/>
      <c r="Q24" s="36"/>
      <c r="R24" s="34"/>
      <c r="S24" s="34"/>
      <c r="T24" s="35"/>
      <c r="U24" s="53"/>
      <c r="V24" s="53"/>
      <c r="W24" s="53"/>
      <c r="X24" s="115"/>
      <c r="Y24" s="116"/>
      <c r="Z24" s="104" t="e">
        <f t="shared" si="1"/>
        <v>#VALUE!</v>
      </c>
      <c r="AA24" s="11" t="s">
        <v>74</v>
      </c>
      <c r="AB24" s="11"/>
      <c r="AC24" s="11"/>
      <c r="AD24" s="11"/>
      <c r="AE24" s="11"/>
      <c r="AF24" s="11"/>
      <c r="AG24" s="11"/>
    </row>
    <row r="25" spans="1:33" ht="12">
      <c r="A25" s="147"/>
      <c r="B25" s="101"/>
      <c r="C25" s="110"/>
      <c r="D25" s="3"/>
      <c r="E25" s="36"/>
      <c r="F25" s="107">
        <f t="shared" si="0"/>
      </c>
      <c r="G25" s="98"/>
      <c r="H25" s="98"/>
      <c r="I25" s="98"/>
      <c r="J25" s="98"/>
      <c r="K25" s="98"/>
      <c r="L25" s="98"/>
      <c r="M25" s="98"/>
      <c r="N25" s="98"/>
      <c r="O25" s="98"/>
      <c r="P25" s="98"/>
      <c r="Q25" s="36"/>
      <c r="R25" s="34"/>
      <c r="S25" s="34"/>
      <c r="T25" s="35"/>
      <c r="U25" s="53"/>
      <c r="V25" s="53"/>
      <c r="W25" s="53"/>
      <c r="X25" s="115"/>
      <c r="Y25" s="116"/>
      <c r="Z25" s="103"/>
      <c r="AA25" s="75" t="s">
        <v>75</v>
      </c>
      <c r="AB25" s="11"/>
      <c r="AC25" s="11"/>
      <c r="AD25" s="11"/>
      <c r="AE25" s="11"/>
      <c r="AF25" s="11"/>
      <c r="AG25" s="11"/>
    </row>
    <row r="26" spans="1:33" ht="12.75" thickBot="1">
      <c r="A26" s="147"/>
      <c r="B26" s="101"/>
      <c r="C26" s="110"/>
      <c r="D26" s="3"/>
      <c r="E26" s="36"/>
      <c r="F26" s="107">
        <f t="shared" si="0"/>
      </c>
      <c r="G26" s="98"/>
      <c r="H26" s="98"/>
      <c r="I26" s="98"/>
      <c r="J26" s="98"/>
      <c r="K26" s="98"/>
      <c r="L26" s="98"/>
      <c r="M26" s="98"/>
      <c r="N26" s="98"/>
      <c r="O26" s="98"/>
      <c r="P26" s="98"/>
      <c r="Q26" s="36"/>
      <c r="R26" s="34"/>
      <c r="S26" s="34"/>
      <c r="T26" s="35"/>
      <c r="U26" s="53"/>
      <c r="V26" s="53"/>
      <c r="W26" s="53"/>
      <c r="X26" s="115"/>
      <c r="Y26" s="116"/>
      <c r="Z26" s="103"/>
      <c r="AA26" s="11"/>
      <c r="AB26" s="11"/>
      <c r="AC26" s="11"/>
      <c r="AD26" s="11"/>
      <c r="AE26" s="11"/>
      <c r="AF26" s="11"/>
      <c r="AG26" s="11"/>
    </row>
    <row r="27" spans="1:33" ht="12.75" thickBot="1">
      <c r="A27" s="143" t="s">
        <v>103</v>
      </c>
      <c r="B27" s="33"/>
      <c r="C27" s="112"/>
      <c r="D27" s="4"/>
      <c r="E27" s="36"/>
      <c r="F27" s="108">
        <f t="shared" si="0"/>
      </c>
      <c r="G27" s="99"/>
      <c r="H27" s="99"/>
      <c r="I27" s="99"/>
      <c r="J27" s="99"/>
      <c r="K27" s="99"/>
      <c r="L27" s="99"/>
      <c r="M27" s="99"/>
      <c r="N27" s="99"/>
      <c r="O27" s="99"/>
      <c r="P27" s="99"/>
      <c r="Q27" s="36"/>
      <c r="R27" s="34"/>
      <c r="S27" s="34"/>
      <c r="T27" s="35"/>
      <c r="U27" s="53"/>
      <c r="V27" s="53"/>
      <c r="W27" s="53"/>
      <c r="X27" s="114"/>
      <c r="Y27" s="114"/>
      <c r="Z27" s="103"/>
      <c r="AA27" s="11" t="s">
        <v>80</v>
      </c>
      <c r="AB27" s="11"/>
      <c r="AC27" s="11"/>
      <c r="AD27" s="11"/>
      <c r="AE27" s="11"/>
      <c r="AF27" s="11"/>
      <c r="AG27" s="11"/>
    </row>
    <row r="28" spans="1:33" ht="12" customHeight="1" thickBot="1" thickTop="1">
      <c r="A28" s="144"/>
      <c r="B28" s="33"/>
      <c r="C28" s="34"/>
      <c r="D28" s="34"/>
      <c r="E28" s="36"/>
      <c r="F28" s="34" t="s">
        <v>17</v>
      </c>
      <c r="G28" s="34">
        <f>IF(G7="","",IF(SUM(G31:G40)=0,"0",SUM(G31:G40)))</f>
      </c>
      <c r="H28" s="34">
        <f aca="true" t="shared" si="2" ref="H28:Q28">IF(H7="","",IF(SUM(H31:H40)=0,"0",SUM(H31:H40)))</f>
      </c>
      <c r="I28" s="34">
        <f t="shared" si="2"/>
      </c>
      <c r="J28" s="34">
        <f t="shared" si="2"/>
      </c>
      <c r="K28" s="34">
        <f t="shared" si="2"/>
      </c>
      <c r="L28" s="34">
        <f t="shared" si="2"/>
      </c>
      <c r="M28" s="34">
        <f t="shared" si="2"/>
      </c>
      <c r="N28" s="34">
        <f t="shared" si="2"/>
      </c>
      <c r="O28" s="34">
        <f t="shared" si="2"/>
      </c>
      <c r="P28" s="34">
        <f t="shared" si="2"/>
      </c>
      <c r="Q28" s="34">
        <f t="shared" si="2"/>
      </c>
      <c r="R28" s="34"/>
      <c r="S28" s="34"/>
      <c r="T28" s="35"/>
      <c r="U28" s="53"/>
      <c r="V28" s="53"/>
      <c r="W28" s="53"/>
      <c r="X28" s="114"/>
      <c r="Y28" s="114"/>
      <c r="Z28" s="103"/>
      <c r="AA28" s="11" t="s">
        <v>92</v>
      </c>
      <c r="AB28" s="11"/>
      <c r="AC28" s="11"/>
      <c r="AD28" s="11" t="s">
        <v>90</v>
      </c>
      <c r="AE28" s="11"/>
      <c r="AF28" s="11"/>
      <c r="AG28" s="11"/>
    </row>
    <row r="29" spans="1:33" ht="12">
      <c r="A29" s="53"/>
      <c r="B29" s="33"/>
      <c r="C29" s="34"/>
      <c r="D29" s="34"/>
      <c r="E29" s="36"/>
      <c r="F29" s="34"/>
      <c r="G29" s="34"/>
      <c r="H29" s="34"/>
      <c r="I29" s="34"/>
      <c r="J29" s="34"/>
      <c r="K29" s="34"/>
      <c r="L29" s="34"/>
      <c r="M29" s="34"/>
      <c r="N29" s="34"/>
      <c r="O29" s="34"/>
      <c r="P29" s="34"/>
      <c r="Q29" s="36"/>
      <c r="R29" s="34"/>
      <c r="S29" s="34"/>
      <c r="T29" s="35"/>
      <c r="U29" s="53"/>
      <c r="V29" s="53"/>
      <c r="W29" s="53"/>
      <c r="X29" s="53"/>
      <c r="Y29" s="53"/>
      <c r="Z29" s="103"/>
      <c r="AA29" s="11"/>
      <c r="AB29" s="76" t="s">
        <v>54</v>
      </c>
      <c r="AC29" s="77">
        <f>IF(WEEKDAY(AC4,2)&gt;=6,,AC4)</f>
        <v>39448</v>
      </c>
      <c r="AD29" s="92">
        <f aca="true" ca="1" t="shared" si="3" ref="AD29:AD46">IF((AC29-TODAY())&lt;2,50000,AC29)</f>
        <v>39448</v>
      </c>
      <c r="AE29" s="11"/>
      <c r="AF29" s="11"/>
      <c r="AG29" s="11"/>
    </row>
    <row r="30" spans="1:33" ht="11.25" hidden="1">
      <c r="A30" s="53"/>
      <c r="B30" s="140" t="s">
        <v>23</v>
      </c>
      <c r="C30" s="141"/>
      <c r="D30" s="34"/>
      <c r="E30" s="36"/>
      <c r="F30" s="15" t="s">
        <v>21</v>
      </c>
      <c r="G30" s="16">
        <f>G7</f>
      </c>
      <c r="H30" s="16">
        <f aca="true" t="shared" si="4" ref="H30:Q30">H7</f>
      </c>
      <c r="I30" s="16">
        <f t="shared" si="4"/>
      </c>
      <c r="J30" s="16">
        <f t="shared" si="4"/>
      </c>
      <c r="K30" s="16">
        <f t="shared" si="4"/>
      </c>
      <c r="L30" s="16">
        <f t="shared" si="4"/>
      </c>
      <c r="M30" s="16">
        <f t="shared" si="4"/>
      </c>
      <c r="N30" s="16">
        <f t="shared" si="4"/>
      </c>
      <c r="O30" s="16">
        <f t="shared" si="4"/>
      </c>
      <c r="P30" s="16">
        <f t="shared" si="4"/>
      </c>
      <c r="Q30" s="16">
        <f t="shared" si="4"/>
        <v>0</v>
      </c>
      <c r="R30" s="34"/>
      <c r="S30" s="1" t="s">
        <v>32</v>
      </c>
      <c r="T30" s="55" t="s">
        <v>33</v>
      </c>
      <c r="U30" s="88" t="s">
        <v>83</v>
      </c>
      <c r="V30" s="89" t="s">
        <v>84</v>
      </c>
      <c r="W30" s="89" t="s">
        <v>85</v>
      </c>
      <c r="X30" s="89" t="s">
        <v>88</v>
      </c>
      <c r="Y30" s="89" t="s">
        <v>89</v>
      </c>
      <c r="Z30" s="95" t="s">
        <v>93</v>
      </c>
      <c r="AA30" s="11"/>
      <c r="AB30" s="78" t="s">
        <v>69</v>
      </c>
      <c r="AC30" s="79">
        <f>IF(WEEKDAY(AC5,2)&gt;=6,,AC5)</f>
        <v>39449</v>
      </c>
      <c r="AD30" s="92">
        <f ca="1" t="shared" si="3"/>
        <v>39449</v>
      </c>
      <c r="AE30" s="11"/>
      <c r="AF30" s="11"/>
      <c r="AG30" s="11"/>
    </row>
    <row r="31" spans="1:33" ht="11.25" hidden="1">
      <c r="A31" s="53"/>
      <c r="B31" s="45">
        <f>IF(G28="",0,G28+10.01)</f>
        <v>0</v>
      </c>
      <c r="C31" s="7">
        <f>G7</f>
      </c>
      <c r="D31" s="34"/>
      <c r="E31" s="36"/>
      <c r="F31" s="17">
        <f>C8</f>
        <v>0</v>
      </c>
      <c r="G31" s="46">
        <f>(IF($D8="重",2,IF($D8="軽",0.5,1))*VLOOKUP(IF(ISBLANK(G8),"-",G8),$R$8:$T$12,3,FALSE))</f>
        <v>0</v>
      </c>
      <c r="H31" s="46">
        <f aca="true" t="shared" si="5" ref="H31:P31">(IF($D8="重",2,IF($D8="軽",0.5,1))*VLOOKUP(IF(ISBLANK(H8),"-",H8),$R$8:$T$12,3,FALSE))</f>
        <v>0</v>
      </c>
      <c r="I31" s="46">
        <f t="shared" si="5"/>
        <v>0</v>
      </c>
      <c r="J31" s="46">
        <f t="shared" si="5"/>
        <v>0</v>
      </c>
      <c r="K31" s="46">
        <f t="shared" si="5"/>
        <v>0</v>
      </c>
      <c r="L31" s="46">
        <f t="shared" si="5"/>
        <v>0</v>
      </c>
      <c r="M31" s="46">
        <f t="shared" si="5"/>
        <v>0</v>
      </c>
      <c r="N31" s="46">
        <f t="shared" si="5"/>
        <v>0</v>
      </c>
      <c r="O31" s="46">
        <f t="shared" si="5"/>
        <v>0</v>
      </c>
      <c r="P31" s="46">
        <f t="shared" si="5"/>
        <v>0</v>
      </c>
      <c r="Q31" s="36"/>
      <c r="R31" s="113" t="s">
        <v>131</v>
      </c>
      <c r="S31" s="84">
        <f>SMALL((B8:B17,T31:T38),1)</f>
        <v>50000</v>
      </c>
      <c r="T31" s="85">
        <f>IF(R38&lt;&gt;0,Z31,50000)</f>
        <v>50000</v>
      </c>
      <c r="U31" s="90">
        <f ca="1">IF((W31-TODAY())&lt;=2,50000,(W31-1))</f>
        <v>39408</v>
      </c>
      <c r="V31" s="91">
        <f>IF((W32-1)=W31,W31,50000)</f>
        <v>39409</v>
      </c>
      <c r="W31" s="91">
        <f>SMALL(($X$31:$Y$40,$AD$29:$AD$46),1)</f>
        <v>39409</v>
      </c>
      <c r="X31" s="91">
        <f ca="1">IF(WEEKDAY(TODAY())=6,50000,IF(WEEKDAY(TODAY())=7,TODAY()+7,TODAY()+(7-WEEKDAY(TODAY()))))</f>
        <v>39410</v>
      </c>
      <c r="Y31" s="91">
        <f ca="1">IF(WEEKDAY(TODAY())=7,50000,IF(WEEKDAY(TODAY())=1,TODAY()+7,TODAY()+(8-WEEKDAY(TODAY()))))</f>
        <v>39411</v>
      </c>
      <c r="Z31" s="96">
        <f>IF(R35=4,W31,IF(R35=3,SMALL(V31:V40,1),IF(R35=2,SMALL(U31:U40,1),IF(R35=5,Z17,50000))))</f>
        <v>50000</v>
      </c>
      <c r="AA31" s="11"/>
      <c r="AB31" s="78" t="s">
        <v>70</v>
      </c>
      <c r="AC31" s="79">
        <f>IF(WEEKDAY(AC6,2)&gt;=6,,AC6)</f>
        <v>39450</v>
      </c>
      <c r="AD31" s="92">
        <f ca="1" t="shared" si="3"/>
        <v>39450</v>
      </c>
      <c r="AE31" s="11"/>
      <c r="AF31" s="11"/>
      <c r="AG31" s="11"/>
    </row>
    <row r="32" spans="1:33" ht="11.25" hidden="1">
      <c r="A32" s="53"/>
      <c r="B32" s="47">
        <f>IF(H28="",0,H28+10.009)</f>
        <v>0</v>
      </c>
      <c r="C32" s="8">
        <f>H7</f>
      </c>
      <c r="D32" s="34"/>
      <c r="E32" s="36"/>
      <c r="F32" s="17">
        <f aca="true" t="shared" si="6" ref="F32:F40">C9</f>
        <v>0</v>
      </c>
      <c r="G32" s="46">
        <f aca="true" t="shared" si="7" ref="G32:P40">(IF($D9="重",2,IF($D9="軽",0.5,1))*VLOOKUP(IF(ISBLANK(G9),"-",G9),$R$8:$T$12,3,FALSE))</f>
        <v>0</v>
      </c>
      <c r="H32" s="46">
        <f t="shared" si="7"/>
        <v>0</v>
      </c>
      <c r="I32" s="46">
        <f t="shared" si="7"/>
        <v>0</v>
      </c>
      <c r="J32" s="46">
        <f t="shared" si="7"/>
        <v>0</v>
      </c>
      <c r="K32" s="46">
        <f t="shared" si="7"/>
        <v>0</v>
      </c>
      <c r="L32" s="46">
        <f t="shared" si="7"/>
        <v>0</v>
      </c>
      <c r="M32" s="46">
        <f t="shared" si="7"/>
        <v>0</v>
      </c>
      <c r="N32" s="46">
        <f t="shared" si="7"/>
        <v>0</v>
      </c>
      <c r="O32" s="46">
        <f t="shared" si="7"/>
        <v>0</v>
      </c>
      <c r="P32" s="46">
        <f t="shared" si="7"/>
        <v>0</v>
      </c>
      <c r="Q32" s="36"/>
      <c r="R32" s="14" t="str">
        <f>IF(MAX(G28:P28)=0," ",MAX(B31:B40))</f>
        <v> </v>
      </c>
      <c r="S32" s="84">
        <f>SMALL((B8:B17,T31:T38),2)</f>
        <v>50000</v>
      </c>
      <c r="T32" s="85">
        <f>IF(R38&lt;&gt;0,Z32,50000)</f>
        <v>50000</v>
      </c>
      <c r="U32" s="90">
        <f aca="true" t="shared" si="8" ref="U32:U40">IF((W32-1)&lt;&gt;W31,W32-1,50000)</f>
        <v>50000</v>
      </c>
      <c r="V32" s="91">
        <f>IF((W33-1)=W32,W32,50000)</f>
        <v>39410</v>
      </c>
      <c r="W32" s="91">
        <f>SMALL(($X$31:$Y$40,$AD$29:$AD$46),2)</f>
        <v>39410</v>
      </c>
      <c r="X32" s="91">
        <f ca="1">TODAY()+(14-(IF(WEEKDAY(TODAY())=7,0,WEEKDAY(TODAY()))))</f>
        <v>39417</v>
      </c>
      <c r="Y32" s="91">
        <f ca="1">TODAY()+(15-WEEKDAY(TODAY()))</f>
        <v>39418</v>
      </c>
      <c r="Z32" s="96">
        <f>IF(R35=4,W32,IF(R35=3,SMALL(V31:V40,2),IF(R35=2,SMALL(U31:U40,2),IF(R35=5,Z18,50000))))</f>
        <v>50000</v>
      </c>
      <c r="AA32" s="11"/>
      <c r="AB32" s="78" t="s">
        <v>55</v>
      </c>
      <c r="AC32" s="79">
        <f>AC7</f>
        <v>39455</v>
      </c>
      <c r="AD32" s="92">
        <f ca="1" t="shared" si="3"/>
        <v>39455</v>
      </c>
      <c r="AE32" s="11"/>
      <c r="AF32" s="11"/>
      <c r="AG32" s="11"/>
    </row>
    <row r="33" spans="1:33" ht="11.25" hidden="1">
      <c r="A33" s="53"/>
      <c r="B33" s="47">
        <f>IF(I28="",0,I28+10.008)</f>
        <v>0</v>
      </c>
      <c r="C33" s="8">
        <f>I7</f>
      </c>
      <c r="D33" s="34"/>
      <c r="E33" s="36"/>
      <c r="F33" s="17">
        <f t="shared" si="6"/>
        <v>0</v>
      </c>
      <c r="G33" s="46">
        <f t="shared" si="7"/>
        <v>0</v>
      </c>
      <c r="H33" s="46">
        <f t="shared" si="7"/>
        <v>0</v>
      </c>
      <c r="I33" s="46">
        <f t="shared" si="7"/>
        <v>0</v>
      </c>
      <c r="J33" s="46">
        <f t="shared" si="7"/>
        <v>0</v>
      </c>
      <c r="K33" s="46">
        <f t="shared" si="7"/>
        <v>0</v>
      </c>
      <c r="L33" s="46">
        <f t="shared" si="7"/>
        <v>0</v>
      </c>
      <c r="M33" s="46">
        <f t="shared" si="7"/>
        <v>0</v>
      </c>
      <c r="N33" s="46">
        <f t="shared" si="7"/>
        <v>0</v>
      </c>
      <c r="O33" s="46">
        <f t="shared" si="7"/>
        <v>0</v>
      </c>
      <c r="P33" s="46">
        <f t="shared" si="7"/>
        <v>0</v>
      </c>
      <c r="Q33" s="36"/>
      <c r="R33" s="34"/>
      <c r="S33" s="84">
        <f>SMALL((B8:B17,T31:T38),3)</f>
        <v>50000</v>
      </c>
      <c r="T33" s="85">
        <f>IF(R38&lt;&gt;0,Z33,50000)</f>
        <v>50000</v>
      </c>
      <c r="U33" s="90">
        <f t="shared" si="8"/>
        <v>50000</v>
      </c>
      <c r="V33" s="91">
        <f aca="true" t="shared" si="9" ref="V33:V50">IF((W34-1)=W33,W33,50000)</f>
        <v>50000</v>
      </c>
      <c r="W33" s="91">
        <f>SMALL(($X$31:$Y$40,$AD$29:$AD$46),3)</f>
        <v>39411</v>
      </c>
      <c r="X33" s="91">
        <f ca="1">TODAY()+(21-(IF(WEEKDAY(TODAY())=7,0,WEEKDAY(TODAY()))))</f>
        <v>39424</v>
      </c>
      <c r="Y33" s="91">
        <f ca="1">TODAY()+(22-WEEKDAY(TODAY()))</f>
        <v>39425</v>
      </c>
      <c r="Z33" s="96">
        <f>IF(R35=4,W33,IF(R35=3,SMALL(V31:V40,3),IF(R35=2,SMALL(U31:U40,3),IF(R35=5,Z19,50000))))</f>
        <v>50000</v>
      </c>
      <c r="AA33" s="11"/>
      <c r="AB33" s="78" t="s">
        <v>56</v>
      </c>
      <c r="AC33" s="79">
        <f>IF(WEEKDAY(AC8)=1,AC8+1,IF(WEEKDAY(AC8)=7,,AC8))</f>
        <v>39489</v>
      </c>
      <c r="AD33" s="92">
        <f ca="1" t="shared" si="3"/>
        <v>39489</v>
      </c>
      <c r="AE33" s="11"/>
      <c r="AF33" s="11"/>
      <c r="AG33" s="11"/>
    </row>
    <row r="34" spans="1:33" ht="11.25" hidden="1">
      <c r="A34" s="53"/>
      <c r="B34" s="47">
        <f>IF(J28="",0,J28+10.007)</f>
        <v>0</v>
      </c>
      <c r="C34" s="8">
        <f>J7</f>
      </c>
      <c r="D34" s="34"/>
      <c r="E34" s="36"/>
      <c r="F34" s="17">
        <f t="shared" si="6"/>
        <v>0</v>
      </c>
      <c r="G34" s="46">
        <f t="shared" si="7"/>
        <v>0</v>
      </c>
      <c r="H34" s="46">
        <f t="shared" si="7"/>
        <v>0</v>
      </c>
      <c r="I34" s="46">
        <f t="shared" si="7"/>
        <v>0</v>
      </c>
      <c r="J34" s="46">
        <f t="shared" si="7"/>
        <v>0</v>
      </c>
      <c r="K34" s="46">
        <f t="shared" si="7"/>
        <v>0</v>
      </c>
      <c r="L34" s="46">
        <f t="shared" si="7"/>
        <v>0</v>
      </c>
      <c r="M34" s="46">
        <f t="shared" si="7"/>
        <v>0</v>
      </c>
      <c r="N34" s="46">
        <f t="shared" si="7"/>
        <v>0</v>
      </c>
      <c r="O34" s="46">
        <f t="shared" si="7"/>
        <v>0</v>
      </c>
      <c r="P34" s="46">
        <f t="shared" si="7"/>
        <v>0</v>
      </c>
      <c r="Q34" s="36"/>
      <c r="R34" s="13" t="s">
        <v>30</v>
      </c>
      <c r="S34" s="84">
        <f>SMALL((B8:B17,T31:T38),4)</f>
        <v>50000</v>
      </c>
      <c r="T34" s="85">
        <f>IF(R38&gt;=5,Z34,50000)</f>
        <v>50000</v>
      </c>
      <c r="U34" s="90">
        <f t="shared" si="8"/>
        <v>39416</v>
      </c>
      <c r="V34" s="91">
        <f t="shared" si="9"/>
        <v>39417</v>
      </c>
      <c r="W34" s="91">
        <f>SMALL(($X$31:$Y$40,$AD$29:$AD$46),4)</f>
        <v>39417</v>
      </c>
      <c r="X34" s="91">
        <f ca="1">TODAY()+(28-(IF(WEEKDAY(TODAY())=7,0,WEEKDAY(TODAY()))))</f>
        <v>39431</v>
      </c>
      <c r="Y34" s="91">
        <f ca="1">TODAY()+(29-WEEKDAY(TODAY()))</f>
        <v>39432</v>
      </c>
      <c r="Z34" s="96">
        <f>IF(R35=4,W34,IF(R35=3,SMALL(V31:V40,4),IF(R35=2,SMALL(U31:U40,4),IF(R35=5,Z20,50000))))</f>
        <v>50000</v>
      </c>
      <c r="AA34" s="11"/>
      <c r="AB34" s="78" t="s">
        <v>57</v>
      </c>
      <c r="AC34" s="79">
        <f>IF(WEEKDAY(AC9)=1,AC9+1,IF(WEEKDAY(AC9)=7,,AC9))</f>
        <v>39162</v>
      </c>
      <c r="AD34" s="92">
        <f ca="1" t="shared" si="3"/>
        <v>50000</v>
      </c>
      <c r="AE34" s="11"/>
      <c r="AF34" s="11"/>
      <c r="AG34" s="11"/>
    </row>
    <row r="35" spans="1:33" ht="11.25" hidden="1">
      <c r="A35" s="53"/>
      <c r="B35" s="47">
        <f>IF(K28="",0,K28+10.006)</f>
        <v>0</v>
      </c>
      <c r="C35" s="8">
        <f>K7</f>
      </c>
      <c r="D35" s="34"/>
      <c r="E35" s="36"/>
      <c r="F35" s="17">
        <f t="shared" si="6"/>
        <v>0</v>
      </c>
      <c r="G35" s="46">
        <f t="shared" si="7"/>
        <v>0</v>
      </c>
      <c r="H35" s="46">
        <f t="shared" si="7"/>
        <v>0</v>
      </c>
      <c r="I35" s="46">
        <f t="shared" si="7"/>
        <v>0</v>
      </c>
      <c r="J35" s="46">
        <f t="shared" si="7"/>
        <v>0</v>
      </c>
      <c r="K35" s="46">
        <f t="shared" si="7"/>
        <v>0</v>
      </c>
      <c r="L35" s="46">
        <f t="shared" si="7"/>
        <v>0</v>
      </c>
      <c r="M35" s="46">
        <f t="shared" si="7"/>
        <v>0</v>
      </c>
      <c r="N35" s="46">
        <f t="shared" si="7"/>
        <v>0</v>
      </c>
      <c r="O35" s="46">
        <f t="shared" si="7"/>
        <v>0</v>
      </c>
      <c r="P35" s="46">
        <f t="shared" si="7"/>
        <v>0</v>
      </c>
      <c r="Q35" s="36"/>
      <c r="R35" s="28">
        <f>IF(A8="手入力のみで候補日を入力",1,IF(A8="翌日が休日の平日を自動抽出",2,IF(A8="翌日が休日の休日を自動抽出",3,IF(A8="休日を自動抽出",4,5))))</f>
        <v>1</v>
      </c>
      <c r="S35" s="84">
        <f>SMALL((B8:B17,T31:T38),5)</f>
        <v>50000</v>
      </c>
      <c r="T35" s="85">
        <f>IF(R38&gt;=5,Z35,50000)</f>
        <v>50000</v>
      </c>
      <c r="U35" s="90">
        <f t="shared" si="8"/>
        <v>50000</v>
      </c>
      <c r="V35" s="91">
        <f t="shared" si="9"/>
        <v>50000</v>
      </c>
      <c r="W35" s="91">
        <f>SMALL(($X$31:$Y$40,$AD$29:$AD$46),5)</f>
        <v>39418</v>
      </c>
      <c r="X35" s="91">
        <f ca="1">TODAY()+(35-(IF(WEEKDAY(TODAY())=7,0,WEEKDAY(TODAY()))))</f>
        <v>39438</v>
      </c>
      <c r="Y35" s="91">
        <f ca="1">TODAY()+(36-WEEKDAY(TODAY()))</f>
        <v>39439</v>
      </c>
      <c r="Z35" s="96">
        <f>IF(R35=4,W35,IF(R35=3,SMALL(V31:V40,5),IF(R35=2,SMALL(U31:U40,5),IF(R35=5,Z21,50000))))</f>
        <v>50000</v>
      </c>
      <c r="AA35" s="11"/>
      <c r="AB35" s="78" t="s">
        <v>58</v>
      </c>
      <c r="AC35" s="79">
        <f>IF(WEEKDAY(AC10)=1,AC10+1,IF(WEEKDAY(AC10)=7,,AC10))</f>
        <v>39202</v>
      </c>
      <c r="AD35" s="92">
        <f ca="1" t="shared" si="3"/>
        <v>50000</v>
      </c>
      <c r="AE35" s="87"/>
      <c r="AF35" s="11"/>
      <c r="AG35" s="11"/>
    </row>
    <row r="36" spans="1:33" ht="11.25" hidden="1">
      <c r="A36" s="53"/>
      <c r="B36" s="47">
        <f>IF(L28="",0,L28+10.005)</f>
        <v>0</v>
      </c>
      <c r="C36" s="8">
        <f>L7</f>
      </c>
      <c r="D36" s="34"/>
      <c r="E36" s="36"/>
      <c r="F36" s="17">
        <f t="shared" si="6"/>
        <v>0</v>
      </c>
      <c r="G36" s="46">
        <f t="shared" si="7"/>
        <v>0</v>
      </c>
      <c r="H36" s="46">
        <f t="shared" si="7"/>
        <v>0</v>
      </c>
      <c r="I36" s="46">
        <f t="shared" si="7"/>
        <v>0</v>
      </c>
      <c r="J36" s="46">
        <f t="shared" si="7"/>
        <v>0</v>
      </c>
      <c r="K36" s="46">
        <f t="shared" si="7"/>
        <v>0</v>
      </c>
      <c r="L36" s="46">
        <f t="shared" si="7"/>
        <v>0</v>
      </c>
      <c r="M36" s="46">
        <f t="shared" si="7"/>
        <v>0</v>
      </c>
      <c r="N36" s="46">
        <f t="shared" si="7"/>
        <v>0</v>
      </c>
      <c r="O36" s="46">
        <f t="shared" si="7"/>
        <v>0</v>
      </c>
      <c r="P36" s="46">
        <f t="shared" si="7"/>
        <v>0</v>
      </c>
      <c r="Q36" s="36"/>
      <c r="R36" s="34"/>
      <c r="S36" s="84">
        <f>SMALL((B8:B17,T31:T38),6)</f>
        <v>50000</v>
      </c>
      <c r="T36" s="85">
        <f>IF(R38=8,Z36,50000)</f>
        <v>50000</v>
      </c>
      <c r="U36" s="90">
        <f t="shared" si="8"/>
        <v>39423</v>
      </c>
      <c r="V36" s="91">
        <f t="shared" si="9"/>
        <v>39424</v>
      </c>
      <c r="W36" s="91">
        <f>SMALL(($X$31:$Y$40,$AD$29:$AD$46),6)</f>
        <v>39424</v>
      </c>
      <c r="X36" s="91">
        <f ca="1">TODAY()+(42-(IF(WEEKDAY(TODAY())=7,0,WEEKDAY(TODAY()))))</f>
        <v>39445</v>
      </c>
      <c r="Y36" s="91">
        <f ca="1">TODAY()+(43-WEEKDAY(TODAY()))</f>
        <v>39446</v>
      </c>
      <c r="Z36" s="96">
        <f>IF(R35=4,W36,IF(R35=3,SMALL(V31:V40,6),IF(R35=2,SMALL(U31:U40,6),IF(R35=5,Z22,50000))))</f>
        <v>50000</v>
      </c>
      <c r="AA36" s="11"/>
      <c r="AB36" s="78" t="s">
        <v>59</v>
      </c>
      <c r="AC36" s="79">
        <f>IF(WEEKDAY(AC11)=1,AC11+1,IF(WEEKDAY(AC11)=7,,AC11))</f>
        <v>39205</v>
      </c>
      <c r="AD36" s="92">
        <f ca="1" t="shared" si="3"/>
        <v>50000</v>
      </c>
      <c r="AE36" s="11"/>
      <c r="AF36" s="11"/>
      <c r="AG36" s="11"/>
    </row>
    <row r="37" spans="1:33" ht="11.25" hidden="1">
      <c r="A37" s="53"/>
      <c r="B37" s="47">
        <f>IF(M28="",0,M28+10.004)</f>
        <v>0</v>
      </c>
      <c r="C37" s="8">
        <f>M7</f>
      </c>
      <c r="D37" s="34"/>
      <c r="E37" s="36"/>
      <c r="F37" s="17">
        <f t="shared" si="6"/>
        <v>0</v>
      </c>
      <c r="G37" s="46">
        <f t="shared" si="7"/>
        <v>0</v>
      </c>
      <c r="H37" s="46">
        <f t="shared" si="7"/>
        <v>0</v>
      </c>
      <c r="I37" s="46">
        <f t="shared" si="7"/>
        <v>0</v>
      </c>
      <c r="J37" s="46">
        <f t="shared" si="7"/>
        <v>0</v>
      </c>
      <c r="K37" s="46">
        <f t="shared" si="7"/>
        <v>0</v>
      </c>
      <c r="L37" s="46">
        <f t="shared" si="7"/>
        <v>0</v>
      </c>
      <c r="M37" s="46">
        <f t="shared" si="7"/>
        <v>0</v>
      </c>
      <c r="N37" s="46">
        <f t="shared" si="7"/>
        <v>0</v>
      </c>
      <c r="O37" s="46">
        <f t="shared" si="7"/>
        <v>0</v>
      </c>
      <c r="P37" s="46">
        <f t="shared" si="7"/>
        <v>0</v>
      </c>
      <c r="Q37" s="36"/>
      <c r="R37" s="13" t="s">
        <v>31</v>
      </c>
      <c r="S37" s="84">
        <f>SMALL((B8:B17,T31:T38),7)</f>
        <v>50000</v>
      </c>
      <c r="T37" s="85">
        <f>IF(R38=8,Z37,50000)</f>
        <v>50000</v>
      </c>
      <c r="U37" s="90">
        <f t="shared" si="8"/>
        <v>50000</v>
      </c>
      <c r="V37" s="91">
        <f t="shared" si="9"/>
        <v>50000</v>
      </c>
      <c r="W37" s="91">
        <f>SMALL(($X$31:$Y$40,$AD$29:$AD$46),7)</f>
        <v>39425</v>
      </c>
      <c r="X37" s="91">
        <f ca="1">TODAY()+(49-(IF(WEEKDAY(TODAY())=7,0,WEEKDAY(TODAY()))))</f>
        <v>39452</v>
      </c>
      <c r="Y37" s="91">
        <f ca="1">TODAY()+(50-WEEKDAY(TODAY()))</f>
        <v>39453</v>
      </c>
      <c r="Z37" s="96">
        <f>IF(R35=4,W37,IF(R35=3,SMALL(V31:V40,7),IF(R35=2,SMALL(U31:U40,7),IF(R35=5,Z23,50000))))</f>
        <v>50000</v>
      </c>
      <c r="AA37" s="11"/>
      <c r="AB37" s="78" t="s">
        <v>73</v>
      </c>
      <c r="AC37" s="79">
        <f>IF(WEEKDAY(AC12,2)&gt;=6,,AC12)</f>
        <v>39206</v>
      </c>
      <c r="AD37" s="92">
        <f ca="1" t="shared" si="3"/>
        <v>50000</v>
      </c>
      <c r="AE37" s="11"/>
      <c r="AF37" s="11"/>
      <c r="AG37" s="11"/>
    </row>
    <row r="38" spans="1:33" ht="12" hidden="1" thickBot="1">
      <c r="A38" s="53"/>
      <c r="B38" s="47">
        <f>IF(N28="",0,N28+10.003)</f>
        <v>0</v>
      </c>
      <c r="C38" s="8">
        <f>N7</f>
      </c>
      <c r="D38" s="34"/>
      <c r="E38" s="36"/>
      <c r="F38" s="17">
        <f t="shared" si="6"/>
        <v>0</v>
      </c>
      <c r="G38" s="46">
        <f t="shared" si="7"/>
        <v>0</v>
      </c>
      <c r="H38" s="46">
        <f t="shared" si="7"/>
        <v>0</v>
      </c>
      <c r="I38" s="46">
        <f t="shared" si="7"/>
        <v>0</v>
      </c>
      <c r="J38" s="46">
        <f t="shared" si="7"/>
        <v>0</v>
      </c>
      <c r="K38" s="46">
        <f t="shared" si="7"/>
        <v>0</v>
      </c>
      <c r="L38" s="46">
        <f t="shared" si="7"/>
        <v>0</v>
      </c>
      <c r="M38" s="46">
        <f t="shared" si="7"/>
        <v>0</v>
      </c>
      <c r="N38" s="46">
        <f t="shared" si="7"/>
        <v>0</v>
      </c>
      <c r="O38" s="46">
        <f t="shared" si="7"/>
        <v>0</v>
      </c>
      <c r="P38" s="46">
        <f t="shared" si="7"/>
        <v>0</v>
      </c>
      <c r="Q38" s="36"/>
      <c r="R38" s="28">
        <f>IF(A15="３日分",3,IF(A15="５日分",5,IF(A15="８日分",8,0)))</f>
        <v>0</v>
      </c>
      <c r="S38" s="84">
        <f>SMALL((B8:B17,T31:T38),8)</f>
        <v>50000</v>
      </c>
      <c r="T38" s="85">
        <f>IF(R38=8,Z38,50000)</f>
        <v>50000</v>
      </c>
      <c r="U38" s="90">
        <f t="shared" si="8"/>
        <v>39430</v>
      </c>
      <c r="V38" s="91">
        <f t="shared" si="9"/>
        <v>39431</v>
      </c>
      <c r="W38" s="91">
        <f>SMALL(($X$31:$Y$40,$AD$29:$AD$46),8)</f>
        <v>39431</v>
      </c>
      <c r="X38" s="91">
        <f ca="1">TODAY()+(56-(IF(WEEKDAY(TODAY())=7,0,WEEKDAY(TODAY()))))</f>
        <v>39459</v>
      </c>
      <c r="Y38" s="91">
        <f ca="1">TODAY()+(57-WEEKDAY(TODAY()))</f>
        <v>39460</v>
      </c>
      <c r="Z38" s="97">
        <f>IF(R35=4,W38,IF(R35=3,SMALL(V31:V40,8),IF(R35=2,SMALL(U31:U40,8),IF(R35=5,Z24,50000))))</f>
        <v>50000</v>
      </c>
      <c r="AA38" s="11"/>
      <c r="AB38" s="78" t="s">
        <v>60</v>
      </c>
      <c r="AC38" s="79">
        <f>IF(WEEKDAY(AC13)=1,AC13+1,IF(WEEKDAY(AC13)=7,,AC13))</f>
        <v>0</v>
      </c>
      <c r="AD38" s="92">
        <f ca="1" t="shared" si="3"/>
        <v>50000</v>
      </c>
      <c r="AE38" s="11"/>
      <c r="AF38" s="11"/>
      <c r="AG38" s="11"/>
    </row>
    <row r="39" spans="1:33" ht="11.25" hidden="1">
      <c r="A39" s="53"/>
      <c r="B39" s="47">
        <f>IF(O28="",0,O28+10.002)</f>
        <v>0</v>
      </c>
      <c r="C39" s="8">
        <f>O7</f>
      </c>
      <c r="D39" s="34"/>
      <c r="E39" s="36"/>
      <c r="F39" s="17">
        <f t="shared" si="6"/>
        <v>0</v>
      </c>
      <c r="G39" s="46">
        <f t="shared" si="7"/>
        <v>0</v>
      </c>
      <c r="H39" s="46">
        <f t="shared" si="7"/>
        <v>0</v>
      </c>
      <c r="I39" s="46">
        <f t="shared" si="7"/>
        <v>0</v>
      </c>
      <c r="J39" s="46">
        <f t="shared" si="7"/>
        <v>0</v>
      </c>
      <c r="K39" s="46">
        <f t="shared" si="7"/>
        <v>0</v>
      </c>
      <c r="L39" s="46">
        <f t="shared" si="7"/>
        <v>0</v>
      </c>
      <c r="M39" s="46">
        <f t="shared" si="7"/>
        <v>0</v>
      </c>
      <c r="N39" s="46">
        <f t="shared" si="7"/>
        <v>0</v>
      </c>
      <c r="O39" s="46">
        <f t="shared" si="7"/>
        <v>0</v>
      </c>
      <c r="P39" s="46">
        <f t="shared" si="7"/>
        <v>0</v>
      </c>
      <c r="Q39" s="36"/>
      <c r="R39" s="18"/>
      <c r="S39" s="84" t="e">
        <f>SMALL((B8:B17,T31:T38),9)</f>
        <v>#NUM!</v>
      </c>
      <c r="T39" s="35"/>
      <c r="U39" s="90">
        <f t="shared" si="8"/>
        <v>50000</v>
      </c>
      <c r="V39" s="91">
        <f t="shared" si="9"/>
        <v>50000</v>
      </c>
      <c r="W39" s="91">
        <f>SMALL(($X$31:$Y$40,$AD$29:$AD$46),9)</f>
        <v>39432</v>
      </c>
      <c r="X39" s="91">
        <f ca="1">TODAY()+(63-(IF(WEEKDAY(TODAY())=7,0,WEEKDAY(TODAY()))))</f>
        <v>39466</v>
      </c>
      <c r="Y39" s="91">
        <f ca="1">TODAY()+(64-WEEKDAY(TODAY()))</f>
        <v>39467</v>
      </c>
      <c r="Z39" s="54"/>
      <c r="AA39" s="11"/>
      <c r="AB39" s="78" t="s">
        <v>61</v>
      </c>
      <c r="AC39" s="79">
        <f>AC14</f>
        <v>198</v>
      </c>
      <c r="AD39" s="92">
        <f ca="1" t="shared" si="3"/>
        <v>50000</v>
      </c>
      <c r="AE39" s="11"/>
      <c r="AF39" s="11"/>
      <c r="AG39" s="11"/>
    </row>
    <row r="40" spans="1:33" ht="11.25" hidden="1">
      <c r="A40" s="53"/>
      <c r="B40" s="47">
        <f>IF(P28="",0,P28+10.01)</f>
        <v>0</v>
      </c>
      <c r="C40" s="8">
        <f>P7</f>
      </c>
      <c r="D40" s="34"/>
      <c r="E40" s="36"/>
      <c r="F40" s="17">
        <f t="shared" si="6"/>
        <v>0</v>
      </c>
      <c r="G40" s="46">
        <f t="shared" si="7"/>
        <v>0</v>
      </c>
      <c r="H40" s="46">
        <f t="shared" si="7"/>
        <v>0</v>
      </c>
      <c r="I40" s="46">
        <f t="shared" si="7"/>
        <v>0</v>
      </c>
      <c r="J40" s="46">
        <f t="shared" si="7"/>
        <v>0</v>
      </c>
      <c r="K40" s="46">
        <f t="shared" si="7"/>
        <v>0</v>
      </c>
      <c r="L40" s="46">
        <f t="shared" si="7"/>
        <v>0</v>
      </c>
      <c r="M40" s="46">
        <f t="shared" si="7"/>
        <v>0</v>
      </c>
      <c r="N40" s="46">
        <f t="shared" si="7"/>
        <v>0</v>
      </c>
      <c r="O40" s="46">
        <f t="shared" si="7"/>
        <v>0</v>
      </c>
      <c r="P40" s="46">
        <f t="shared" si="7"/>
        <v>0</v>
      </c>
      <c r="Q40" s="36"/>
      <c r="R40" s="13" t="s">
        <v>112</v>
      </c>
      <c r="S40" s="84" t="e">
        <f>SMALL((B8:B17,T31:T38),10)</f>
        <v>#NUM!</v>
      </c>
      <c r="T40" s="35"/>
      <c r="U40" s="90">
        <f t="shared" si="8"/>
        <v>39437</v>
      </c>
      <c r="V40" s="91">
        <f t="shared" si="9"/>
        <v>39438</v>
      </c>
      <c r="W40" s="91">
        <f>SMALL(($X$31:$Y$40,$AD$29:$AD$46),10)</f>
        <v>39438</v>
      </c>
      <c r="X40" s="91">
        <f ca="1">TODAY()+(70-(IF(WEEKDAY(TODAY())=7,0,WEEKDAY(TODAY()))))</f>
        <v>39473</v>
      </c>
      <c r="Y40" s="91">
        <f ca="1">TODAY()+(71-WEEKDAY(TODAY()))</f>
        <v>39474</v>
      </c>
      <c r="Z40" s="54"/>
      <c r="AA40" s="11"/>
      <c r="AB40" s="78" t="s">
        <v>62</v>
      </c>
      <c r="AC40" s="79">
        <f>AC15</f>
        <v>261</v>
      </c>
      <c r="AD40" s="92">
        <f ca="1" t="shared" si="3"/>
        <v>50000</v>
      </c>
      <c r="AE40" s="11"/>
      <c r="AF40" s="11"/>
      <c r="AG40" s="11"/>
    </row>
    <row r="41" spans="1:33" ht="11.25" hidden="1">
      <c r="A41" s="53"/>
      <c r="B41" s="48">
        <v>-999</v>
      </c>
      <c r="C41" s="10" t="s">
        <v>34</v>
      </c>
      <c r="D41" s="34"/>
      <c r="E41" s="36"/>
      <c r="F41" s="34"/>
      <c r="G41" s="34"/>
      <c r="H41" s="34"/>
      <c r="I41" s="34"/>
      <c r="J41" s="34"/>
      <c r="K41" s="34"/>
      <c r="L41" s="34"/>
      <c r="M41" s="34"/>
      <c r="N41" s="34"/>
      <c r="O41" s="34"/>
      <c r="P41" s="34"/>
      <c r="Q41" s="36"/>
      <c r="R41" s="28">
        <f>IF($A$27="日曜日",1,IF($A$27="月曜日",2,IF($A$27="火曜日",3,IF($A$27="水曜日",4,IF($A$27="木曜日",5,IF($A$27="金曜日",6,IF($A$27="土曜日",7,"")))))))</f>
      </c>
      <c r="S41" s="34"/>
      <c r="T41" s="35"/>
      <c r="U41" s="93">
        <f aca="true" t="shared" si="10" ref="U41:U50">IF((W41-1)&lt;&gt;W40,W41,50000)</f>
        <v>50000</v>
      </c>
      <c r="V41" s="94">
        <f t="shared" si="9"/>
        <v>39439</v>
      </c>
      <c r="W41" s="94">
        <f>SMALL(($X$31:$Y$40,$AD$29:$AD$46),11)</f>
        <v>39439</v>
      </c>
      <c r="X41" s="53"/>
      <c r="Y41" s="53"/>
      <c r="Z41" s="54"/>
      <c r="AA41" s="11"/>
      <c r="AB41" s="78" t="s">
        <v>72</v>
      </c>
      <c r="AC41" s="79">
        <f>AC16</f>
        <v>50000</v>
      </c>
      <c r="AD41" s="92">
        <f ca="1" t="shared" si="3"/>
        <v>50000</v>
      </c>
      <c r="AE41" s="11"/>
      <c r="AF41" s="11"/>
      <c r="AG41" s="11"/>
    </row>
    <row r="42" spans="1:33" ht="11.25" customHeight="1" hidden="1">
      <c r="A42" s="53"/>
      <c r="B42" s="33"/>
      <c r="C42" s="18"/>
      <c r="D42" s="18"/>
      <c r="E42" s="18"/>
      <c r="F42" s="18"/>
      <c r="G42" s="19"/>
      <c r="H42" s="19"/>
      <c r="I42" s="19"/>
      <c r="J42" s="19"/>
      <c r="K42" s="19"/>
      <c r="L42" s="19"/>
      <c r="M42" s="19"/>
      <c r="N42" s="19"/>
      <c r="O42" s="34"/>
      <c r="P42" s="34"/>
      <c r="Q42" s="36"/>
      <c r="R42" s="34"/>
      <c r="S42" s="34"/>
      <c r="T42" s="35"/>
      <c r="U42" s="93">
        <f t="shared" si="10"/>
        <v>50000</v>
      </c>
      <c r="V42" s="94">
        <f t="shared" si="9"/>
        <v>50000</v>
      </c>
      <c r="W42" s="94">
        <f>SMALL(($X$31:$Y$40,$AD$29:$AD$46),12)</f>
        <v>39440</v>
      </c>
      <c r="X42" s="53"/>
      <c r="Y42" s="53"/>
      <c r="Z42" s="54"/>
      <c r="AA42" s="11"/>
      <c r="AB42" s="78" t="s">
        <v>63</v>
      </c>
      <c r="AC42" s="79">
        <f>IF(WEEKDAY(AC17)=1,AC17+1,IF(WEEKDAY(AC17)=7,,AC17))</f>
        <v>39349</v>
      </c>
      <c r="AD42" s="92">
        <f ca="1" t="shared" si="3"/>
        <v>50000</v>
      </c>
      <c r="AE42" s="11"/>
      <c r="AF42" s="11"/>
      <c r="AG42" s="11"/>
    </row>
    <row r="43" spans="1:33" ht="11.25" customHeight="1" hidden="1">
      <c r="A43" s="53"/>
      <c r="B43" s="33"/>
      <c r="C43" s="18"/>
      <c r="D43" s="18"/>
      <c r="E43" s="18"/>
      <c r="F43" s="18"/>
      <c r="G43" s="19"/>
      <c r="H43" s="19"/>
      <c r="I43" s="19"/>
      <c r="J43" s="19"/>
      <c r="K43" s="19"/>
      <c r="L43" s="19"/>
      <c r="M43" s="19"/>
      <c r="N43" s="19"/>
      <c r="O43" s="34"/>
      <c r="P43" s="34"/>
      <c r="Q43" s="36"/>
      <c r="R43" s="34"/>
      <c r="S43" s="34"/>
      <c r="T43" s="35"/>
      <c r="U43" s="93">
        <f t="shared" si="10"/>
        <v>39445</v>
      </c>
      <c r="V43" s="94">
        <f t="shared" si="9"/>
        <v>39445</v>
      </c>
      <c r="W43" s="94">
        <f>SMALL(($X$31:$Y$40,$AD$29:$AD$46),13)</f>
        <v>39445</v>
      </c>
      <c r="X43" s="53"/>
      <c r="Y43" s="53"/>
      <c r="Z43" s="54"/>
      <c r="AA43" s="11"/>
      <c r="AB43" s="78" t="s">
        <v>64</v>
      </c>
      <c r="AC43" s="79">
        <f>AC18</f>
        <v>39363</v>
      </c>
      <c r="AD43" s="92">
        <f ca="1" t="shared" si="3"/>
        <v>50000</v>
      </c>
      <c r="AE43" s="11"/>
      <c r="AF43" s="11"/>
      <c r="AG43" s="11"/>
    </row>
    <row r="44" spans="1:33" ht="11.25" customHeight="1" thickBot="1">
      <c r="A44" s="53"/>
      <c r="B44" s="33"/>
      <c r="C44" s="18"/>
      <c r="D44" s="18"/>
      <c r="E44" s="18"/>
      <c r="F44" s="18"/>
      <c r="G44" s="19"/>
      <c r="H44" s="19"/>
      <c r="I44" s="19"/>
      <c r="J44" s="19"/>
      <c r="K44" s="19"/>
      <c r="L44" s="19"/>
      <c r="M44" s="19"/>
      <c r="N44" s="19"/>
      <c r="O44" s="34"/>
      <c r="P44" s="34"/>
      <c r="Q44" s="36"/>
      <c r="R44" s="34"/>
      <c r="S44" s="34"/>
      <c r="T44" s="35"/>
      <c r="U44" s="93">
        <f t="shared" si="10"/>
        <v>50000</v>
      </c>
      <c r="V44" s="94">
        <f t="shared" si="9"/>
        <v>50000</v>
      </c>
      <c r="W44" s="94">
        <f>SMALL(($X$31:$Y$40,$AD$29:$AD$46),14)</f>
        <v>39446</v>
      </c>
      <c r="X44" s="53"/>
      <c r="Y44" s="53"/>
      <c r="Z44" s="54"/>
      <c r="AA44" s="11"/>
      <c r="AB44" s="78" t="s">
        <v>65</v>
      </c>
      <c r="AC44" s="79">
        <f>IF(WEEKDAY(AC19)=1,AC19+1,IF(WEEKDAY(AC19)=7,,AC19))</f>
        <v>0</v>
      </c>
      <c r="AD44" s="92">
        <f ca="1" t="shared" si="3"/>
        <v>50000</v>
      </c>
      <c r="AE44" s="11"/>
      <c r="AF44" s="11"/>
      <c r="AG44" s="11"/>
    </row>
    <row r="45" spans="1:33" ht="12">
      <c r="A45" s="53"/>
      <c r="B45" s="33"/>
      <c r="C45" s="34"/>
      <c r="D45" s="34"/>
      <c r="E45" s="36"/>
      <c r="F45" s="137" t="str">
        <f>VLOOKUP(IF($R$32=" ",-999,R32),B31:C41,2,FALSE)</f>
        <v>(・_・)？</v>
      </c>
      <c r="G45" s="139" t="s">
        <v>22</v>
      </c>
      <c r="H45" s="139"/>
      <c r="I45" s="139"/>
      <c r="J45" s="139"/>
      <c r="K45" s="139"/>
      <c r="L45" s="139"/>
      <c r="M45" s="34"/>
      <c r="N45" s="34"/>
      <c r="O45" s="34"/>
      <c r="P45" s="34"/>
      <c r="Q45" s="36"/>
      <c r="R45" s="34"/>
      <c r="S45" s="34"/>
      <c r="T45" s="35"/>
      <c r="U45" s="93">
        <f t="shared" si="10"/>
        <v>39448</v>
      </c>
      <c r="V45" s="94">
        <f t="shared" si="9"/>
        <v>39448</v>
      </c>
      <c r="W45" s="94">
        <f>SMALL(($X$31:$Y$40,$AD$29:$AD$46),15)</f>
        <v>39448</v>
      </c>
      <c r="X45" s="53"/>
      <c r="Y45" s="53"/>
      <c r="Z45" s="54"/>
      <c r="AA45" s="11"/>
      <c r="AB45" s="78" t="s">
        <v>66</v>
      </c>
      <c r="AC45" s="79">
        <f>IF(WEEKDAY(AC20)=1,AC20+1,IF(WEEKDAY(AC20)=7,,AC20))</f>
        <v>39409</v>
      </c>
      <c r="AD45" s="92">
        <f ca="1" t="shared" si="3"/>
        <v>39409</v>
      </c>
      <c r="AE45" s="11"/>
      <c r="AF45" s="11"/>
      <c r="AG45" s="11"/>
    </row>
    <row r="46" spans="1:33" ht="12.75" thickBot="1">
      <c r="A46" s="53"/>
      <c r="B46" s="33"/>
      <c r="C46" s="34"/>
      <c r="D46" s="34"/>
      <c r="E46" s="36"/>
      <c r="F46" s="138"/>
      <c r="G46" s="139"/>
      <c r="H46" s="139"/>
      <c r="I46" s="139"/>
      <c r="J46" s="139"/>
      <c r="K46" s="139"/>
      <c r="L46" s="139"/>
      <c r="M46" s="34"/>
      <c r="N46" s="34"/>
      <c r="O46" s="34"/>
      <c r="P46" s="34"/>
      <c r="Q46" s="36"/>
      <c r="R46" s="34"/>
      <c r="S46" s="34"/>
      <c r="T46" s="35"/>
      <c r="U46" s="93">
        <f t="shared" si="10"/>
        <v>50000</v>
      </c>
      <c r="V46" s="94">
        <f t="shared" si="9"/>
        <v>39449</v>
      </c>
      <c r="W46" s="94">
        <f>SMALL(($X$31:$Y$40,$AD$29:$AD$46),16)</f>
        <v>39449</v>
      </c>
      <c r="X46" s="53"/>
      <c r="Y46" s="53"/>
      <c r="Z46" s="54"/>
      <c r="AA46" s="11"/>
      <c r="AB46" s="80" t="s">
        <v>67</v>
      </c>
      <c r="AC46" s="83">
        <f>IF(WEEKDAY(AC21)=1,AC21+1,IF(WEEKDAY(AC21)=7,,AC21))</f>
        <v>39440</v>
      </c>
      <c r="AD46" s="92">
        <f ca="1" t="shared" si="3"/>
        <v>39440</v>
      </c>
      <c r="AE46" s="11"/>
      <c r="AF46" s="11"/>
      <c r="AG46" s="11"/>
    </row>
    <row r="47" spans="1:33" ht="12">
      <c r="A47" s="53"/>
      <c r="B47" s="33"/>
      <c r="C47" s="34"/>
      <c r="D47" s="34"/>
      <c r="E47" s="36"/>
      <c r="F47" s="34"/>
      <c r="G47" s="34"/>
      <c r="H47" s="34"/>
      <c r="I47" s="34"/>
      <c r="J47" s="34"/>
      <c r="K47" s="34"/>
      <c r="L47" s="34"/>
      <c r="M47" s="34"/>
      <c r="N47" s="34"/>
      <c r="O47" s="34"/>
      <c r="P47" s="34"/>
      <c r="Q47" s="36"/>
      <c r="R47" s="34"/>
      <c r="S47" s="34"/>
      <c r="T47" s="35"/>
      <c r="U47" s="93">
        <f t="shared" si="10"/>
        <v>50000</v>
      </c>
      <c r="V47" s="94">
        <f t="shared" si="9"/>
        <v>50000</v>
      </c>
      <c r="W47" s="94">
        <f>SMALL(($X$31:$Y$40,$AD$29:$AD$46),17)</f>
        <v>39450</v>
      </c>
      <c r="X47" s="53"/>
      <c r="Y47" s="53"/>
      <c r="Z47" s="54"/>
      <c r="AA47" s="82" t="s">
        <v>81</v>
      </c>
      <c r="AB47" s="11"/>
      <c r="AC47" s="11"/>
      <c r="AD47" s="11"/>
      <c r="AE47" s="11"/>
      <c r="AF47" s="11"/>
      <c r="AG47" s="11"/>
    </row>
    <row r="48" spans="1:33" ht="14.25" customHeight="1">
      <c r="A48" s="53"/>
      <c r="B48" s="33"/>
      <c r="C48" s="34"/>
      <c r="D48" s="34"/>
      <c r="E48" s="36"/>
      <c r="F48" s="34"/>
      <c r="G48" s="34"/>
      <c r="H48" s="34"/>
      <c r="I48" s="34"/>
      <c r="J48" s="34"/>
      <c r="K48" s="34"/>
      <c r="L48" s="34"/>
      <c r="M48" s="34"/>
      <c r="N48" s="34"/>
      <c r="O48" s="34"/>
      <c r="P48" s="34"/>
      <c r="Q48" s="36"/>
      <c r="R48" s="34"/>
      <c r="S48" s="34"/>
      <c r="T48" s="35"/>
      <c r="U48" s="93">
        <f t="shared" si="10"/>
        <v>39452</v>
      </c>
      <c r="V48" s="94">
        <f t="shared" si="9"/>
        <v>39452</v>
      </c>
      <c r="W48" s="94">
        <f>SMALL(($X$31:$Y$40,$AD$29:$AD$46),18)</f>
        <v>39452</v>
      </c>
      <c r="X48" s="53"/>
      <c r="Y48" s="53"/>
      <c r="Z48" s="54"/>
      <c r="AA48" s="11"/>
      <c r="AB48" s="11"/>
      <c r="AC48" s="11"/>
      <c r="AD48" s="11"/>
      <c r="AE48" s="11"/>
      <c r="AF48" s="11"/>
      <c r="AG48" s="11"/>
    </row>
    <row r="49" spans="1:33" ht="14.25" customHeight="1">
      <c r="A49" s="53"/>
      <c r="B49" s="33"/>
      <c r="C49" s="131"/>
      <c r="D49" s="132"/>
      <c r="E49" s="132"/>
      <c r="F49" s="132"/>
      <c r="G49" s="132"/>
      <c r="H49" s="132"/>
      <c r="I49" s="132"/>
      <c r="J49" s="132"/>
      <c r="K49" s="132"/>
      <c r="L49" s="132"/>
      <c r="M49" s="132"/>
      <c r="N49" s="132"/>
      <c r="O49" s="132"/>
      <c r="P49" s="132"/>
      <c r="Q49" s="132"/>
      <c r="R49" s="132"/>
      <c r="S49" s="133"/>
      <c r="T49" s="35"/>
      <c r="U49" s="93">
        <f t="shared" si="10"/>
        <v>50000</v>
      </c>
      <c r="V49" s="94">
        <f t="shared" si="9"/>
        <v>50000</v>
      </c>
      <c r="W49" s="94">
        <f>SMALL(($X$31:$Y$40,$AD$29:$AD$46),19)</f>
        <v>39453</v>
      </c>
      <c r="X49" s="53"/>
      <c r="Y49" s="53"/>
      <c r="Z49" s="54"/>
      <c r="AA49" s="11"/>
      <c r="AB49" s="11" t="s">
        <v>87</v>
      </c>
      <c r="AC49" s="11"/>
      <c r="AD49" s="11"/>
      <c r="AE49" s="11"/>
      <c r="AF49" s="11"/>
      <c r="AG49" s="11"/>
    </row>
    <row r="50" spans="1:33" ht="14.25" customHeight="1">
      <c r="A50" s="53"/>
      <c r="B50" s="33"/>
      <c r="C50" s="134"/>
      <c r="D50" s="135"/>
      <c r="E50" s="135"/>
      <c r="F50" s="135"/>
      <c r="G50" s="135"/>
      <c r="H50" s="135"/>
      <c r="I50" s="135"/>
      <c r="J50" s="135"/>
      <c r="K50" s="135"/>
      <c r="L50" s="135"/>
      <c r="M50" s="135"/>
      <c r="N50" s="135"/>
      <c r="O50" s="135"/>
      <c r="P50" s="135"/>
      <c r="Q50" s="135"/>
      <c r="R50" s="135"/>
      <c r="S50" s="136"/>
      <c r="T50" s="35"/>
      <c r="U50" s="93">
        <f t="shared" si="10"/>
        <v>39455</v>
      </c>
      <c r="V50" s="94">
        <f t="shared" si="9"/>
        <v>50000</v>
      </c>
      <c r="W50" s="94">
        <f>SMALL(($X$31:$Y$40,$AD$29:$AD$46),20)</f>
        <v>39455</v>
      </c>
      <c r="X50" s="53"/>
      <c r="Y50" s="53"/>
      <c r="Z50" s="54"/>
      <c r="AA50" s="11"/>
      <c r="AB50" s="86"/>
      <c r="AC50" s="11"/>
      <c r="AD50" s="11"/>
      <c r="AE50" s="11"/>
      <c r="AF50" s="11"/>
      <c r="AG50" s="11"/>
    </row>
    <row r="51" spans="1:33" ht="14.25" customHeight="1">
      <c r="A51" s="53"/>
      <c r="B51" s="33"/>
      <c r="C51" s="134"/>
      <c r="D51" s="135"/>
      <c r="E51" s="135"/>
      <c r="F51" s="135"/>
      <c r="G51" s="135"/>
      <c r="H51" s="135"/>
      <c r="I51" s="135"/>
      <c r="J51" s="135"/>
      <c r="K51" s="135"/>
      <c r="L51" s="135"/>
      <c r="M51" s="135"/>
      <c r="N51" s="135"/>
      <c r="O51" s="135"/>
      <c r="P51" s="135"/>
      <c r="Q51" s="135"/>
      <c r="R51" s="135"/>
      <c r="S51" s="136"/>
      <c r="T51" s="35"/>
      <c r="U51" s="53"/>
      <c r="V51" s="53"/>
      <c r="W51" s="53"/>
      <c r="X51" s="53"/>
      <c r="Y51" s="53"/>
      <c r="Z51" s="53"/>
      <c r="AA51" s="11"/>
      <c r="AB51" s="86"/>
      <c r="AC51" s="11"/>
      <c r="AD51" s="11"/>
      <c r="AE51" s="11"/>
      <c r="AF51" s="11"/>
      <c r="AG51" s="11"/>
    </row>
    <row r="52" spans="1:33" ht="14.25" customHeight="1">
      <c r="A52" s="53"/>
      <c r="B52" s="33"/>
      <c r="C52" s="120"/>
      <c r="D52" s="121"/>
      <c r="E52" s="121"/>
      <c r="F52" s="121"/>
      <c r="G52" s="121"/>
      <c r="H52" s="121"/>
      <c r="I52" s="121"/>
      <c r="J52" s="121"/>
      <c r="K52" s="121"/>
      <c r="L52" s="121"/>
      <c r="M52" s="121"/>
      <c r="N52" s="121"/>
      <c r="O52" s="121"/>
      <c r="P52" s="121"/>
      <c r="Q52" s="121"/>
      <c r="R52" s="121"/>
      <c r="S52" s="122"/>
      <c r="T52" s="35"/>
      <c r="U52" s="53"/>
      <c r="V52" s="53"/>
      <c r="W52" s="53"/>
      <c r="X52" s="53"/>
      <c r="Y52" s="53"/>
      <c r="Z52" s="53"/>
      <c r="AA52" s="11"/>
      <c r="AB52" s="86"/>
      <c r="AC52" s="11"/>
      <c r="AD52" s="11"/>
      <c r="AE52" s="11"/>
      <c r="AF52" s="11"/>
      <c r="AG52" s="11"/>
    </row>
    <row r="53" spans="1:33" ht="11.25">
      <c r="A53" s="53"/>
      <c r="B53" s="33"/>
      <c r="C53" s="34"/>
      <c r="D53" s="34"/>
      <c r="E53" s="36"/>
      <c r="F53" s="34"/>
      <c r="G53" s="34"/>
      <c r="H53" s="34"/>
      <c r="I53" s="34"/>
      <c r="J53" s="34"/>
      <c r="K53" s="34"/>
      <c r="L53" s="34"/>
      <c r="M53" s="34"/>
      <c r="N53" s="34"/>
      <c r="O53" s="34"/>
      <c r="P53" s="34"/>
      <c r="Q53" s="36"/>
      <c r="R53" s="34"/>
      <c r="S53" s="34"/>
      <c r="T53" s="35"/>
      <c r="U53" s="53"/>
      <c r="V53" s="53"/>
      <c r="W53" s="53"/>
      <c r="X53" s="53"/>
      <c r="Y53" s="53"/>
      <c r="Z53" s="53"/>
      <c r="AA53" s="11"/>
      <c r="AB53" s="86"/>
      <c r="AC53" s="11"/>
      <c r="AD53" s="11"/>
      <c r="AE53" s="11"/>
      <c r="AF53" s="11"/>
      <c r="AG53" s="11"/>
    </row>
    <row r="54" spans="1:33" ht="12" thickBot="1">
      <c r="A54" s="53"/>
      <c r="B54" s="49"/>
      <c r="C54" s="50"/>
      <c r="D54" s="50"/>
      <c r="E54" s="51"/>
      <c r="F54" s="50"/>
      <c r="G54" s="50"/>
      <c r="H54" s="50"/>
      <c r="I54" s="50"/>
      <c r="J54" s="50"/>
      <c r="K54" s="50"/>
      <c r="L54" s="50"/>
      <c r="M54" s="50"/>
      <c r="N54" s="50"/>
      <c r="O54" s="50"/>
      <c r="P54" s="50"/>
      <c r="Q54" s="51"/>
      <c r="R54" s="50"/>
      <c r="S54" s="50"/>
      <c r="T54" s="52"/>
      <c r="U54" s="53"/>
      <c r="V54" s="53"/>
      <c r="W54" s="53"/>
      <c r="X54" s="53"/>
      <c r="Y54" s="53"/>
      <c r="Z54" s="53"/>
      <c r="AA54" s="11"/>
      <c r="AB54" s="11"/>
      <c r="AC54" s="11"/>
      <c r="AD54" s="11"/>
      <c r="AE54" s="11"/>
      <c r="AF54" s="11"/>
      <c r="AG54" s="11"/>
    </row>
    <row r="55" spans="1:33" ht="11.25">
      <c r="A55" s="53"/>
      <c r="B55" s="54"/>
      <c r="C55" s="54"/>
      <c r="D55" s="54"/>
      <c r="E55" s="53"/>
      <c r="F55" s="54"/>
      <c r="G55" s="54"/>
      <c r="H55" s="54"/>
      <c r="I55" s="54"/>
      <c r="J55" s="54"/>
      <c r="K55" s="54"/>
      <c r="L55" s="54"/>
      <c r="M55" s="54"/>
      <c r="N55" s="54"/>
      <c r="O55" s="54"/>
      <c r="P55" s="54"/>
      <c r="Q55" s="53"/>
      <c r="R55" s="54"/>
      <c r="S55" s="54"/>
      <c r="T55" s="53"/>
      <c r="U55" s="53"/>
      <c r="V55" s="53"/>
      <c r="W55" s="53"/>
      <c r="X55" s="53"/>
      <c r="Y55" s="53"/>
      <c r="Z55" s="53"/>
      <c r="AA55" s="11"/>
      <c r="AB55" s="11"/>
      <c r="AC55" s="11"/>
      <c r="AD55" s="11"/>
      <c r="AE55" s="11"/>
      <c r="AF55" s="11"/>
      <c r="AG55" s="11"/>
    </row>
    <row r="56" spans="1:33" ht="11.25">
      <c r="A56" s="53"/>
      <c r="B56" s="54"/>
      <c r="C56" s="54"/>
      <c r="D56" s="54"/>
      <c r="E56" s="53"/>
      <c r="F56" s="54"/>
      <c r="G56" s="54"/>
      <c r="H56" s="54"/>
      <c r="I56" s="54"/>
      <c r="J56" s="54"/>
      <c r="K56" s="54"/>
      <c r="L56" s="54"/>
      <c r="M56" s="54"/>
      <c r="N56" s="54"/>
      <c r="O56" s="54"/>
      <c r="P56" s="54"/>
      <c r="Q56" s="53"/>
      <c r="R56" s="54"/>
      <c r="S56" s="54"/>
      <c r="T56" s="53"/>
      <c r="U56" s="53"/>
      <c r="V56" s="53"/>
      <c r="W56" s="53"/>
      <c r="X56" s="53"/>
      <c r="Y56" s="53"/>
      <c r="Z56" s="53"/>
      <c r="AA56" s="11"/>
      <c r="AB56" s="11"/>
      <c r="AC56" s="11"/>
      <c r="AD56" s="11"/>
      <c r="AE56" s="11"/>
      <c r="AF56" s="11"/>
      <c r="AG56" s="11"/>
    </row>
    <row r="57" spans="1:33" ht="11.25">
      <c r="A57" s="53"/>
      <c r="B57" s="54"/>
      <c r="C57" s="54"/>
      <c r="D57" s="54"/>
      <c r="E57" s="53"/>
      <c r="F57" s="54"/>
      <c r="G57" s="54"/>
      <c r="H57" s="54"/>
      <c r="I57" s="54"/>
      <c r="J57" s="54"/>
      <c r="K57" s="54"/>
      <c r="L57" s="54"/>
      <c r="M57" s="54"/>
      <c r="N57" s="54"/>
      <c r="O57" s="54"/>
      <c r="P57" s="54"/>
      <c r="Q57" s="53"/>
      <c r="R57" s="54"/>
      <c r="S57" s="54"/>
      <c r="T57" s="53"/>
      <c r="U57" s="53"/>
      <c r="V57" s="53"/>
      <c r="W57" s="53"/>
      <c r="X57" s="53"/>
      <c r="Y57" s="53"/>
      <c r="Z57" s="53"/>
      <c r="AA57" s="11"/>
      <c r="AB57" s="11"/>
      <c r="AC57" s="11"/>
      <c r="AD57" s="11"/>
      <c r="AE57" s="11"/>
      <c r="AF57" s="11"/>
      <c r="AG57" s="11"/>
    </row>
    <row r="58" spans="1:33" ht="11.25">
      <c r="A58" s="53"/>
      <c r="B58" s="54"/>
      <c r="C58" s="54"/>
      <c r="D58" s="54"/>
      <c r="E58" s="53"/>
      <c r="F58" s="54"/>
      <c r="G58" s="54"/>
      <c r="H58" s="54"/>
      <c r="I58" s="54"/>
      <c r="J58" s="54"/>
      <c r="K58" s="54"/>
      <c r="L58" s="54"/>
      <c r="M58" s="54"/>
      <c r="N58" s="54"/>
      <c r="O58" s="54"/>
      <c r="P58" s="54"/>
      <c r="Q58" s="53"/>
      <c r="R58" s="54"/>
      <c r="S58" s="54"/>
      <c r="T58" s="53"/>
      <c r="U58" s="53"/>
      <c r="V58" s="53"/>
      <c r="W58" s="53"/>
      <c r="X58" s="53"/>
      <c r="Y58" s="53"/>
      <c r="Z58" s="53"/>
      <c r="AA58" s="11"/>
      <c r="AB58" s="11"/>
      <c r="AC58" s="11"/>
      <c r="AD58" s="11"/>
      <c r="AE58" s="11"/>
      <c r="AF58" s="11"/>
      <c r="AG58" s="11"/>
    </row>
    <row r="59" spans="1:33" ht="11.25">
      <c r="A59" s="53"/>
      <c r="B59" s="54"/>
      <c r="C59" s="54"/>
      <c r="D59" s="54"/>
      <c r="E59" s="53"/>
      <c r="F59" s="54"/>
      <c r="G59" s="54"/>
      <c r="H59" s="54"/>
      <c r="I59" s="54"/>
      <c r="J59" s="54"/>
      <c r="K59" s="54"/>
      <c r="L59" s="54"/>
      <c r="M59" s="54"/>
      <c r="N59" s="54"/>
      <c r="O59" s="54"/>
      <c r="P59" s="54"/>
      <c r="Q59" s="53"/>
      <c r="R59" s="54"/>
      <c r="S59" s="54"/>
      <c r="T59" s="53"/>
      <c r="U59" s="53"/>
      <c r="V59" s="53"/>
      <c r="W59" s="53"/>
      <c r="X59" s="53"/>
      <c r="Y59" s="53"/>
      <c r="Z59" s="53"/>
      <c r="AA59" s="11"/>
      <c r="AB59" s="11"/>
      <c r="AC59" s="11"/>
      <c r="AD59" s="11"/>
      <c r="AE59" s="11"/>
      <c r="AF59" s="11"/>
      <c r="AG59" s="11"/>
    </row>
    <row r="60" spans="1:33" ht="11.25">
      <c r="A60" s="53"/>
      <c r="B60" s="54"/>
      <c r="C60" s="54"/>
      <c r="D60" s="54"/>
      <c r="E60" s="53"/>
      <c r="F60" s="54"/>
      <c r="G60" s="54"/>
      <c r="H60" s="54"/>
      <c r="I60" s="54"/>
      <c r="J60" s="54"/>
      <c r="K60" s="54"/>
      <c r="L60" s="54"/>
      <c r="M60" s="54"/>
      <c r="N60" s="54"/>
      <c r="O60" s="54"/>
      <c r="P60" s="54"/>
      <c r="Q60" s="53"/>
      <c r="R60" s="54"/>
      <c r="S60" s="54"/>
      <c r="T60" s="53"/>
      <c r="U60" s="53"/>
      <c r="V60" s="53"/>
      <c r="W60" s="53"/>
      <c r="X60" s="53"/>
      <c r="Y60" s="53"/>
      <c r="Z60" s="53"/>
      <c r="AA60" s="11"/>
      <c r="AB60" s="11"/>
      <c r="AC60" s="11"/>
      <c r="AD60" s="11"/>
      <c r="AE60" s="11"/>
      <c r="AF60" s="11"/>
      <c r="AG60" s="11"/>
    </row>
    <row r="61" spans="1:33" ht="11.25">
      <c r="A61" s="53"/>
      <c r="B61" s="54"/>
      <c r="C61" s="54"/>
      <c r="D61" s="54"/>
      <c r="E61" s="53"/>
      <c r="F61" s="54"/>
      <c r="G61" s="54"/>
      <c r="H61" s="54"/>
      <c r="I61" s="54"/>
      <c r="J61" s="54"/>
      <c r="K61" s="54"/>
      <c r="L61" s="54"/>
      <c r="M61" s="54"/>
      <c r="N61" s="54"/>
      <c r="O61" s="54"/>
      <c r="P61" s="54"/>
      <c r="Q61" s="53"/>
      <c r="R61" s="54"/>
      <c r="S61" s="54"/>
      <c r="T61" s="53"/>
      <c r="U61" s="53"/>
      <c r="V61" s="53"/>
      <c r="W61" s="53"/>
      <c r="X61" s="53"/>
      <c r="Y61" s="53"/>
      <c r="Z61" s="53"/>
      <c r="AA61" s="11"/>
      <c r="AB61" s="11"/>
      <c r="AC61" s="11"/>
      <c r="AD61" s="11"/>
      <c r="AE61" s="11"/>
      <c r="AF61" s="11"/>
      <c r="AG61" s="11"/>
    </row>
    <row r="62" spans="1:33" ht="11.25">
      <c r="A62" s="53"/>
      <c r="B62" s="54"/>
      <c r="C62" s="54"/>
      <c r="D62" s="54"/>
      <c r="E62" s="53"/>
      <c r="F62" s="54"/>
      <c r="G62" s="54"/>
      <c r="H62" s="54"/>
      <c r="I62" s="54"/>
      <c r="J62" s="54"/>
      <c r="K62" s="54"/>
      <c r="L62" s="54"/>
      <c r="M62" s="54"/>
      <c r="N62" s="54"/>
      <c r="O62" s="54"/>
      <c r="P62" s="54"/>
      <c r="Q62" s="53"/>
      <c r="R62" s="54"/>
      <c r="S62" s="54"/>
      <c r="T62" s="53"/>
      <c r="U62" s="53"/>
      <c r="V62" s="53"/>
      <c r="W62" s="53"/>
      <c r="X62" s="53"/>
      <c r="Y62" s="53"/>
      <c r="Z62" s="53"/>
      <c r="AA62" s="11"/>
      <c r="AB62" s="11"/>
      <c r="AC62" s="11"/>
      <c r="AD62" s="11"/>
      <c r="AE62" s="11"/>
      <c r="AF62" s="11"/>
      <c r="AG62" s="11"/>
    </row>
    <row r="63" spans="1:33" ht="11.25">
      <c r="A63" s="53"/>
      <c r="B63" s="54"/>
      <c r="C63" s="54"/>
      <c r="D63" s="54"/>
      <c r="E63" s="53"/>
      <c r="F63" s="54"/>
      <c r="G63" s="54"/>
      <c r="H63" s="54"/>
      <c r="I63" s="54"/>
      <c r="J63" s="54"/>
      <c r="K63" s="54"/>
      <c r="L63" s="54"/>
      <c r="M63" s="54"/>
      <c r="N63" s="54"/>
      <c r="O63" s="54"/>
      <c r="P63" s="54"/>
      <c r="Q63" s="53"/>
      <c r="R63" s="54"/>
      <c r="S63" s="54"/>
      <c r="T63" s="53"/>
      <c r="U63" s="53"/>
      <c r="V63" s="53"/>
      <c r="W63" s="53"/>
      <c r="X63" s="53"/>
      <c r="Y63" s="53"/>
      <c r="Z63" s="53"/>
      <c r="AA63" s="11"/>
      <c r="AB63" s="11"/>
      <c r="AC63" s="11"/>
      <c r="AD63" s="11"/>
      <c r="AE63" s="11"/>
      <c r="AF63" s="11"/>
      <c r="AG63" s="11"/>
    </row>
    <row r="64" spans="1:33" ht="11.25">
      <c r="A64" s="53"/>
      <c r="B64" s="54"/>
      <c r="C64" s="54"/>
      <c r="D64" s="54"/>
      <c r="E64" s="53"/>
      <c r="F64" s="54"/>
      <c r="G64" s="54"/>
      <c r="H64" s="54"/>
      <c r="I64" s="54"/>
      <c r="J64" s="54"/>
      <c r="K64" s="54"/>
      <c r="L64" s="54"/>
      <c r="M64" s="54"/>
      <c r="N64" s="54"/>
      <c r="O64" s="54"/>
      <c r="P64" s="54"/>
      <c r="Q64" s="53"/>
      <c r="R64" s="54"/>
      <c r="S64" s="54"/>
      <c r="T64" s="53"/>
      <c r="U64" s="53"/>
      <c r="V64" s="53"/>
      <c r="W64" s="53"/>
      <c r="X64" s="53"/>
      <c r="Y64" s="53"/>
      <c r="Z64" s="53"/>
      <c r="AA64" s="11"/>
      <c r="AB64" s="11"/>
      <c r="AC64" s="11"/>
      <c r="AD64" s="11"/>
      <c r="AE64" s="11"/>
      <c r="AF64" s="11"/>
      <c r="AG64" s="11"/>
    </row>
    <row r="65" spans="1:33" ht="11.25">
      <c r="A65" s="53"/>
      <c r="B65" s="54"/>
      <c r="C65" s="54"/>
      <c r="D65" s="54"/>
      <c r="E65" s="53"/>
      <c r="F65" s="54"/>
      <c r="G65" s="54"/>
      <c r="H65" s="54"/>
      <c r="I65" s="54"/>
      <c r="J65" s="54"/>
      <c r="K65" s="54"/>
      <c r="L65" s="54"/>
      <c r="M65" s="54"/>
      <c r="N65" s="54"/>
      <c r="O65" s="54"/>
      <c r="P65" s="54"/>
      <c r="Q65" s="53"/>
      <c r="R65" s="54"/>
      <c r="S65" s="54"/>
      <c r="T65" s="53"/>
      <c r="U65" s="53"/>
      <c r="V65" s="53"/>
      <c r="W65" s="53"/>
      <c r="X65" s="53"/>
      <c r="Y65" s="53"/>
      <c r="Z65" s="53"/>
      <c r="AA65" s="11"/>
      <c r="AB65" s="11"/>
      <c r="AC65" s="11"/>
      <c r="AD65" s="11"/>
      <c r="AE65" s="11"/>
      <c r="AF65" s="11"/>
      <c r="AG65" s="11"/>
    </row>
    <row r="66" spans="1:33" ht="11.25">
      <c r="A66" s="53"/>
      <c r="B66" s="54"/>
      <c r="C66" s="54"/>
      <c r="D66" s="54"/>
      <c r="E66" s="53"/>
      <c r="F66" s="54"/>
      <c r="G66" s="54"/>
      <c r="H66" s="54"/>
      <c r="I66" s="54"/>
      <c r="J66" s="54"/>
      <c r="K66" s="54"/>
      <c r="L66" s="54"/>
      <c r="M66" s="54"/>
      <c r="N66" s="54"/>
      <c r="O66" s="54"/>
      <c r="P66" s="54"/>
      <c r="Q66" s="53"/>
      <c r="R66" s="54"/>
      <c r="S66" s="54"/>
      <c r="T66" s="53"/>
      <c r="U66" s="53"/>
      <c r="V66" s="53"/>
      <c r="W66" s="53"/>
      <c r="X66" s="53"/>
      <c r="Y66" s="53"/>
      <c r="Z66" s="53"/>
      <c r="AA66" s="11"/>
      <c r="AB66" s="11"/>
      <c r="AC66" s="11"/>
      <c r="AD66" s="11"/>
      <c r="AE66" s="11"/>
      <c r="AF66" s="11"/>
      <c r="AG66" s="11"/>
    </row>
    <row r="67" spans="1:33" ht="11.25">
      <c r="A67" s="53"/>
      <c r="B67" s="54"/>
      <c r="C67" s="54"/>
      <c r="D67" s="54"/>
      <c r="E67" s="53"/>
      <c r="F67" s="54"/>
      <c r="G67" s="54"/>
      <c r="H67" s="54"/>
      <c r="I67" s="54"/>
      <c r="J67" s="54"/>
      <c r="K67" s="54"/>
      <c r="L67" s="54"/>
      <c r="M67" s="54"/>
      <c r="N67" s="54"/>
      <c r="O67" s="54"/>
      <c r="P67" s="54"/>
      <c r="Q67" s="53"/>
      <c r="R67" s="54"/>
      <c r="S67" s="54"/>
      <c r="T67" s="53"/>
      <c r="U67" s="53"/>
      <c r="V67" s="53"/>
      <c r="W67" s="53"/>
      <c r="X67" s="53"/>
      <c r="Y67" s="53"/>
      <c r="Z67" s="53"/>
      <c r="AA67" s="11"/>
      <c r="AB67" s="11"/>
      <c r="AC67" s="11"/>
      <c r="AD67" s="11"/>
      <c r="AE67" s="11"/>
      <c r="AF67" s="11"/>
      <c r="AG67" s="11"/>
    </row>
    <row r="68" spans="1:33" ht="11.25">
      <c r="A68" s="53"/>
      <c r="B68" s="54"/>
      <c r="C68" s="54"/>
      <c r="D68" s="54"/>
      <c r="E68" s="53"/>
      <c r="F68" s="54"/>
      <c r="G68" s="54"/>
      <c r="H68" s="54"/>
      <c r="I68" s="54"/>
      <c r="J68" s="54"/>
      <c r="K68" s="54"/>
      <c r="L68" s="54"/>
      <c r="M68" s="54"/>
      <c r="N68" s="54"/>
      <c r="O68" s="54"/>
      <c r="P68" s="54"/>
      <c r="Q68" s="53"/>
      <c r="R68" s="54"/>
      <c r="S68" s="54"/>
      <c r="T68" s="53"/>
      <c r="U68" s="53"/>
      <c r="V68" s="53"/>
      <c r="W68" s="53"/>
      <c r="X68" s="53"/>
      <c r="Y68" s="53"/>
      <c r="Z68" s="53"/>
      <c r="AA68" s="11"/>
      <c r="AB68" s="11"/>
      <c r="AC68" s="11"/>
      <c r="AD68" s="11"/>
      <c r="AE68" s="11"/>
      <c r="AF68" s="11"/>
      <c r="AG68" s="11"/>
    </row>
    <row r="69" spans="1:33" ht="11.25">
      <c r="A69" s="53"/>
      <c r="B69" s="54"/>
      <c r="C69" s="54"/>
      <c r="D69" s="54"/>
      <c r="E69" s="53"/>
      <c r="F69" s="54"/>
      <c r="G69" s="54"/>
      <c r="H69" s="54"/>
      <c r="I69" s="54"/>
      <c r="J69" s="54"/>
      <c r="K69" s="54"/>
      <c r="L69" s="54"/>
      <c r="M69" s="54"/>
      <c r="N69" s="54"/>
      <c r="O69" s="54"/>
      <c r="P69" s="54"/>
      <c r="Q69" s="53"/>
      <c r="R69" s="54"/>
      <c r="S69" s="54"/>
      <c r="T69" s="53"/>
      <c r="U69" s="53"/>
      <c r="V69" s="53"/>
      <c r="W69" s="53"/>
      <c r="X69" s="53"/>
      <c r="Y69" s="53"/>
      <c r="Z69" s="53"/>
      <c r="AA69" s="11"/>
      <c r="AB69" s="11"/>
      <c r="AC69" s="11"/>
      <c r="AD69" s="11"/>
      <c r="AE69" s="11"/>
      <c r="AF69" s="11"/>
      <c r="AG69" s="11"/>
    </row>
    <row r="70" spans="1:33" ht="50.25" customHeight="1">
      <c r="A70" s="53"/>
      <c r="B70" s="54"/>
      <c r="C70" s="54"/>
      <c r="D70" s="54"/>
      <c r="E70" s="53"/>
      <c r="F70" s="54"/>
      <c r="G70" s="54"/>
      <c r="H70" s="54"/>
      <c r="I70" s="54"/>
      <c r="J70" s="54"/>
      <c r="K70" s="54"/>
      <c r="L70" s="54"/>
      <c r="M70" s="54"/>
      <c r="N70" s="54"/>
      <c r="O70" s="54"/>
      <c r="P70" s="54"/>
      <c r="Q70" s="53"/>
      <c r="R70" s="54"/>
      <c r="S70" s="54"/>
      <c r="T70" s="53"/>
      <c r="U70" s="53"/>
      <c r="V70" s="53"/>
      <c r="W70" s="53"/>
      <c r="X70" s="53"/>
      <c r="Y70" s="53"/>
      <c r="Z70" s="53"/>
      <c r="AA70" s="11"/>
      <c r="AB70" s="11"/>
      <c r="AC70" s="11"/>
      <c r="AD70" s="11"/>
      <c r="AE70" s="11"/>
      <c r="AF70" s="11"/>
      <c r="AG70" s="11"/>
    </row>
    <row r="71" spans="1:33" ht="11.25">
      <c r="A71" s="11"/>
      <c r="B71" s="6"/>
      <c r="C71" s="6"/>
      <c r="D71" s="6"/>
      <c r="E71" s="11"/>
      <c r="F71" s="6"/>
      <c r="G71" s="6"/>
      <c r="H71" s="6"/>
      <c r="I71" s="6"/>
      <c r="J71" s="6"/>
      <c r="K71" s="6"/>
      <c r="L71" s="6"/>
      <c r="M71" s="6"/>
      <c r="N71" s="6"/>
      <c r="O71" s="6"/>
      <c r="P71" s="6"/>
      <c r="Q71" s="11"/>
      <c r="R71" s="6"/>
      <c r="S71" s="6"/>
      <c r="T71" s="11"/>
      <c r="U71" s="11"/>
      <c r="V71" s="11"/>
      <c r="W71" s="11"/>
      <c r="X71" s="11"/>
      <c r="Y71" s="11"/>
      <c r="Z71" s="11"/>
      <c r="AA71" s="11"/>
      <c r="AB71" s="11"/>
      <c r="AC71" s="11"/>
      <c r="AD71" s="11"/>
      <c r="AE71" s="11"/>
      <c r="AF71" s="11"/>
      <c r="AG71" s="11"/>
    </row>
    <row r="72" spans="1:33" ht="11.25">
      <c r="A72" s="11"/>
      <c r="B72" s="6"/>
      <c r="C72" s="6"/>
      <c r="D72" s="6"/>
      <c r="E72" s="11"/>
      <c r="F72" s="6"/>
      <c r="G72" s="6"/>
      <c r="H72" s="6"/>
      <c r="I72" s="6"/>
      <c r="J72" s="6"/>
      <c r="K72" s="6"/>
      <c r="L72" s="6"/>
      <c r="M72" s="6"/>
      <c r="N72" s="6"/>
      <c r="O72" s="6"/>
      <c r="P72" s="6"/>
      <c r="Q72" s="11"/>
      <c r="R72" s="6"/>
      <c r="S72" s="6"/>
      <c r="T72" s="11"/>
      <c r="U72" s="11"/>
      <c r="V72" s="11"/>
      <c r="W72" s="11"/>
      <c r="X72" s="11"/>
      <c r="Y72" s="11"/>
      <c r="Z72" s="11"/>
      <c r="AA72" s="11"/>
      <c r="AB72" s="11"/>
      <c r="AC72" s="11"/>
      <c r="AD72" s="11"/>
      <c r="AE72" s="11"/>
      <c r="AF72" s="11"/>
      <c r="AG72" s="11"/>
    </row>
    <row r="73" spans="1:33" ht="11.25">
      <c r="A73" s="11"/>
      <c r="B73" s="6"/>
      <c r="C73" s="6"/>
      <c r="D73" s="6"/>
      <c r="E73" s="11"/>
      <c r="F73" s="6"/>
      <c r="G73" s="6"/>
      <c r="H73" s="6"/>
      <c r="I73" s="6"/>
      <c r="J73" s="6"/>
      <c r="K73" s="6"/>
      <c r="L73" s="6"/>
      <c r="M73" s="6"/>
      <c r="N73" s="6"/>
      <c r="O73" s="6"/>
      <c r="P73" s="6"/>
      <c r="Q73" s="11"/>
      <c r="R73" s="6"/>
      <c r="S73" s="6"/>
      <c r="T73" s="11"/>
      <c r="U73" s="11"/>
      <c r="V73" s="11"/>
      <c r="W73" s="11"/>
      <c r="X73" s="11"/>
      <c r="Y73" s="11"/>
      <c r="Z73" s="11"/>
      <c r="AA73" s="11"/>
      <c r="AB73" s="11"/>
      <c r="AC73" s="11"/>
      <c r="AD73" s="11"/>
      <c r="AE73" s="11"/>
      <c r="AF73" s="11"/>
      <c r="AG73" s="11"/>
    </row>
    <row r="74" spans="1:33" ht="11.25">
      <c r="A74" s="11"/>
      <c r="B74" s="6"/>
      <c r="C74" s="6"/>
      <c r="D74" s="6"/>
      <c r="E74" s="11"/>
      <c r="F74" s="6"/>
      <c r="G74" s="6"/>
      <c r="H74" s="6"/>
      <c r="I74" s="6"/>
      <c r="J74" s="6"/>
      <c r="K74" s="6"/>
      <c r="L74" s="6"/>
      <c r="M74" s="6"/>
      <c r="N74" s="6"/>
      <c r="O74" s="6"/>
      <c r="P74" s="6"/>
      <c r="Q74" s="11"/>
      <c r="R74" s="6"/>
      <c r="S74" s="6"/>
      <c r="T74" s="11"/>
      <c r="U74" s="11"/>
      <c r="V74" s="11"/>
      <c r="W74" s="11"/>
      <c r="X74" s="11"/>
      <c r="Y74" s="11"/>
      <c r="Z74" s="11"/>
      <c r="AA74" s="11"/>
      <c r="AB74" s="11"/>
      <c r="AC74" s="11"/>
      <c r="AD74" s="11"/>
      <c r="AE74" s="11"/>
      <c r="AF74" s="11"/>
      <c r="AG74" s="11"/>
    </row>
    <row r="75" spans="1:33" ht="11.25">
      <c r="A75" s="11"/>
      <c r="B75" s="6"/>
      <c r="C75" s="6"/>
      <c r="D75" s="6"/>
      <c r="E75" s="11"/>
      <c r="F75" s="6"/>
      <c r="G75" s="6"/>
      <c r="H75" s="6"/>
      <c r="I75" s="6"/>
      <c r="J75" s="6"/>
      <c r="K75" s="6"/>
      <c r="L75" s="6"/>
      <c r="M75" s="6"/>
      <c r="N75" s="6"/>
      <c r="O75" s="6"/>
      <c r="P75" s="6"/>
      <c r="Q75" s="11"/>
      <c r="R75" s="6"/>
      <c r="S75" s="6"/>
      <c r="T75" s="11"/>
      <c r="U75" s="11"/>
      <c r="V75" s="11"/>
      <c r="W75" s="11"/>
      <c r="X75" s="11"/>
      <c r="Y75" s="11"/>
      <c r="Z75" s="11"/>
      <c r="AA75" s="11"/>
      <c r="AB75" s="11"/>
      <c r="AC75" s="11"/>
      <c r="AD75" s="11"/>
      <c r="AE75" s="11"/>
      <c r="AF75" s="11"/>
      <c r="AG75" s="11"/>
    </row>
    <row r="76" spans="1:33" ht="11.25">
      <c r="A76" s="11"/>
      <c r="B76" s="6"/>
      <c r="C76" s="6"/>
      <c r="D76" s="6"/>
      <c r="E76" s="11"/>
      <c r="F76" s="6"/>
      <c r="G76" s="6"/>
      <c r="H76" s="6"/>
      <c r="I76" s="6"/>
      <c r="J76" s="6"/>
      <c r="K76" s="6"/>
      <c r="L76" s="6"/>
      <c r="M76" s="6"/>
      <c r="N76" s="6"/>
      <c r="O76" s="6"/>
      <c r="P76" s="6"/>
      <c r="Q76" s="11"/>
      <c r="R76" s="6"/>
      <c r="S76" s="6"/>
      <c r="T76" s="11"/>
      <c r="U76" s="11"/>
      <c r="V76" s="11"/>
      <c r="W76" s="11"/>
      <c r="X76" s="11"/>
      <c r="Y76" s="11"/>
      <c r="Z76" s="11"/>
      <c r="AA76" s="11"/>
      <c r="AB76" s="11"/>
      <c r="AC76" s="11"/>
      <c r="AD76" s="11"/>
      <c r="AE76" s="11"/>
      <c r="AF76" s="11"/>
      <c r="AG76" s="11"/>
    </row>
    <row r="77" spans="1:33" ht="11.25">
      <c r="A77" s="11"/>
      <c r="B77" s="6"/>
      <c r="C77" s="6"/>
      <c r="D77" s="6"/>
      <c r="E77" s="11"/>
      <c r="F77" s="6"/>
      <c r="G77" s="6"/>
      <c r="H77" s="6"/>
      <c r="I77" s="6"/>
      <c r="J77" s="6"/>
      <c r="K77" s="6"/>
      <c r="L77" s="6"/>
      <c r="M77" s="6"/>
      <c r="N77" s="6"/>
      <c r="O77" s="6"/>
      <c r="P77" s="6"/>
      <c r="Q77" s="11"/>
      <c r="R77" s="6"/>
      <c r="S77" s="6"/>
      <c r="T77" s="11"/>
      <c r="U77" s="11"/>
      <c r="V77" s="11"/>
      <c r="W77" s="11"/>
      <c r="X77" s="11"/>
      <c r="Y77" s="11"/>
      <c r="Z77" s="11"/>
      <c r="AA77" s="11"/>
      <c r="AB77" s="11"/>
      <c r="AC77" s="11"/>
      <c r="AD77" s="11"/>
      <c r="AE77" s="11"/>
      <c r="AF77" s="11"/>
      <c r="AG77" s="11"/>
    </row>
    <row r="78" spans="1:33" ht="11.25">
      <c r="A78" s="11"/>
      <c r="B78" s="6"/>
      <c r="C78" s="6"/>
      <c r="D78" s="6"/>
      <c r="E78" s="11"/>
      <c r="F78" s="6"/>
      <c r="G78" s="6"/>
      <c r="H78" s="6"/>
      <c r="I78" s="6"/>
      <c r="J78" s="6"/>
      <c r="K78" s="6"/>
      <c r="L78" s="6"/>
      <c r="M78" s="6"/>
      <c r="N78" s="6"/>
      <c r="O78" s="6"/>
      <c r="P78" s="6"/>
      <c r="Q78" s="11"/>
      <c r="R78" s="6"/>
      <c r="S78" s="6"/>
      <c r="T78" s="11"/>
      <c r="U78" s="11"/>
      <c r="V78" s="11"/>
      <c r="W78" s="11"/>
      <c r="X78" s="11"/>
      <c r="Y78" s="11"/>
      <c r="Z78" s="11"/>
      <c r="AA78" s="11"/>
      <c r="AB78" s="11"/>
      <c r="AC78" s="11"/>
      <c r="AD78" s="11"/>
      <c r="AE78" s="11"/>
      <c r="AF78" s="11"/>
      <c r="AG78" s="11"/>
    </row>
    <row r="79" spans="1:33" ht="11.25">
      <c r="A79" s="11"/>
      <c r="B79" s="6"/>
      <c r="C79" s="6"/>
      <c r="D79" s="6"/>
      <c r="E79" s="11"/>
      <c r="F79" s="6"/>
      <c r="G79" s="6"/>
      <c r="H79" s="6"/>
      <c r="I79" s="6"/>
      <c r="J79" s="6"/>
      <c r="K79" s="6"/>
      <c r="L79" s="6"/>
      <c r="M79" s="6"/>
      <c r="N79" s="6"/>
      <c r="O79" s="6"/>
      <c r="P79" s="6"/>
      <c r="Q79" s="11"/>
      <c r="R79" s="6"/>
      <c r="S79" s="6"/>
      <c r="T79" s="11"/>
      <c r="U79" s="11"/>
      <c r="V79" s="11"/>
      <c r="W79" s="11"/>
      <c r="X79" s="11"/>
      <c r="Y79" s="11"/>
      <c r="Z79" s="11"/>
      <c r="AA79" s="11"/>
      <c r="AB79" s="11"/>
      <c r="AC79" s="11"/>
      <c r="AD79" s="11"/>
      <c r="AE79" s="11"/>
      <c r="AF79" s="11"/>
      <c r="AG79" s="11"/>
    </row>
    <row r="80" spans="1:33" ht="11.25">
      <c r="A80" s="11"/>
      <c r="B80" s="6"/>
      <c r="C80" s="6"/>
      <c r="D80" s="6"/>
      <c r="E80" s="11"/>
      <c r="F80" s="6"/>
      <c r="G80" s="6"/>
      <c r="H80" s="6"/>
      <c r="I80" s="6"/>
      <c r="J80" s="6"/>
      <c r="K80" s="6"/>
      <c r="L80" s="6"/>
      <c r="M80" s="6"/>
      <c r="N80" s="6"/>
      <c r="O80" s="6"/>
      <c r="P80" s="6"/>
      <c r="Q80" s="11"/>
      <c r="R80" s="6"/>
      <c r="S80" s="6"/>
      <c r="T80" s="11"/>
      <c r="U80" s="11"/>
      <c r="V80" s="11"/>
      <c r="W80" s="11"/>
      <c r="X80" s="11"/>
      <c r="Y80" s="11"/>
      <c r="Z80" s="11"/>
      <c r="AA80" s="11"/>
      <c r="AB80" s="11"/>
      <c r="AC80" s="11"/>
      <c r="AD80" s="11"/>
      <c r="AE80" s="11"/>
      <c r="AF80" s="11"/>
      <c r="AG80" s="11"/>
    </row>
    <row r="81" spans="1:33" ht="11.25">
      <c r="A81" s="11"/>
      <c r="B81" s="6"/>
      <c r="C81" s="6"/>
      <c r="D81" s="6"/>
      <c r="E81" s="11"/>
      <c r="F81" s="6"/>
      <c r="G81" s="6"/>
      <c r="H81" s="6"/>
      <c r="I81" s="6"/>
      <c r="J81" s="6"/>
      <c r="K81" s="6"/>
      <c r="L81" s="6"/>
      <c r="M81" s="6"/>
      <c r="N81" s="6"/>
      <c r="O81" s="6"/>
      <c r="P81" s="6"/>
      <c r="Q81" s="11"/>
      <c r="R81" s="6"/>
      <c r="S81" s="6"/>
      <c r="T81" s="11"/>
      <c r="U81" s="11"/>
      <c r="V81" s="11"/>
      <c r="W81" s="11"/>
      <c r="X81" s="11"/>
      <c r="Y81" s="11"/>
      <c r="Z81" s="11"/>
      <c r="AA81" s="11"/>
      <c r="AB81" s="11"/>
      <c r="AC81" s="11"/>
      <c r="AD81" s="11"/>
      <c r="AE81" s="11"/>
      <c r="AF81" s="11"/>
      <c r="AG81" s="11"/>
    </row>
    <row r="82" spans="1:33" ht="11.25">
      <c r="A82" s="11"/>
      <c r="B82" s="6"/>
      <c r="C82" s="6"/>
      <c r="D82" s="6"/>
      <c r="E82" s="11"/>
      <c r="F82" s="6"/>
      <c r="G82" s="6"/>
      <c r="H82" s="6"/>
      <c r="I82" s="6"/>
      <c r="J82" s="6"/>
      <c r="K82" s="6"/>
      <c r="L82" s="6"/>
      <c r="M82" s="6"/>
      <c r="N82" s="6"/>
      <c r="O82" s="6"/>
      <c r="P82" s="6"/>
      <c r="Q82" s="11"/>
      <c r="R82" s="6"/>
      <c r="S82" s="6"/>
      <c r="T82" s="11"/>
      <c r="U82" s="11"/>
      <c r="V82" s="11"/>
      <c r="W82" s="11"/>
      <c r="X82" s="11"/>
      <c r="Y82" s="11"/>
      <c r="Z82" s="11"/>
      <c r="AA82" s="11"/>
      <c r="AB82" s="11"/>
      <c r="AC82" s="11"/>
      <c r="AD82" s="11"/>
      <c r="AE82" s="11"/>
      <c r="AF82" s="11"/>
      <c r="AG82" s="11"/>
    </row>
    <row r="83" spans="1:33" ht="11.25">
      <c r="A83" s="11"/>
      <c r="B83" s="6"/>
      <c r="C83" s="6"/>
      <c r="D83" s="6"/>
      <c r="E83" s="11"/>
      <c r="F83" s="6"/>
      <c r="G83" s="6"/>
      <c r="H83" s="6"/>
      <c r="I83" s="6"/>
      <c r="J83" s="6"/>
      <c r="K83" s="6"/>
      <c r="L83" s="6"/>
      <c r="M83" s="6"/>
      <c r="N83" s="6"/>
      <c r="O83" s="6"/>
      <c r="P83" s="6"/>
      <c r="Q83" s="11"/>
      <c r="R83" s="6"/>
      <c r="S83" s="6"/>
      <c r="T83" s="11"/>
      <c r="U83" s="11"/>
      <c r="V83" s="11"/>
      <c r="W83" s="11"/>
      <c r="X83" s="11"/>
      <c r="Y83" s="11"/>
      <c r="Z83" s="11"/>
      <c r="AA83" s="11"/>
      <c r="AB83" s="11"/>
      <c r="AC83" s="11"/>
      <c r="AD83" s="11"/>
      <c r="AE83" s="11"/>
      <c r="AF83" s="11"/>
      <c r="AG83" s="11"/>
    </row>
    <row r="84" spans="1:33" ht="11.25">
      <c r="A84" s="11"/>
      <c r="B84" s="6"/>
      <c r="C84" s="6"/>
      <c r="D84" s="6"/>
      <c r="E84" s="11"/>
      <c r="F84" s="6"/>
      <c r="G84" s="6"/>
      <c r="H84" s="6"/>
      <c r="I84" s="6"/>
      <c r="J84" s="6"/>
      <c r="K84" s="6"/>
      <c r="L84" s="6"/>
      <c r="M84" s="6"/>
      <c r="N84" s="6"/>
      <c r="O84" s="6"/>
      <c r="P84" s="6"/>
      <c r="Q84" s="11"/>
      <c r="R84" s="6"/>
      <c r="S84" s="6"/>
      <c r="T84" s="11"/>
      <c r="U84" s="11"/>
      <c r="V84" s="11"/>
      <c r="W84" s="11"/>
      <c r="X84" s="11"/>
      <c r="Y84" s="11"/>
      <c r="Z84" s="11"/>
      <c r="AA84" s="11"/>
      <c r="AB84" s="11"/>
      <c r="AC84" s="11"/>
      <c r="AD84" s="11"/>
      <c r="AE84" s="11"/>
      <c r="AF84" s="11"/>
      <c r="AG84" s="11"/>
    </row>
    <row r="85" spans="1:33" ht="11.25">
      <c r="A85" s="11"/>
      <c r="B85" s="6"/>
      <c r="C85" s="6"/>
      <c r="D85" s="6"/>
      <c r="E85" s="11"/>
      <c r="F85" s="6"/>
      <c r="G85" s="6"/>
      <c r="H85" s="6"/>
      <c r="I85" s="6"/>
      <c r="J85" s="6"/>
      <c r="K85" s="6"/>
      <c r="L85" s="6"/>
      <c r="M85" s="6"/>
      <c r="N85" s="6"/>
      <c r="O85" s="6"/>
      <c r="P85" s="6"/>
      <c r="Q85" s="11"/>
      <c r="R85" s="6"/>
      <c r="S85" s="6"/>
      <c r="T85" s="11"/>
      <c r="U85" s="11"/>
      <c r="V85" s="11"/>
      <c r="W85" s="11"/>
      <c r="X85" s="11"/>
      <c r="Y85" s="11"/>
      <c r="Z85" s="11"/>
      <c r="AA85" s="11"/>
      <c r="AB85" s="11"/>
      <c r="AC85" s="11"/>
      <c r="AD85" s="11"/>
      <c r="AE85" s="11"/>
      <c r="AF85" s="11"/>
      <c r="AG85" s="11"/>
    </row>
    <row r="86" spans="1:33" ht="11.25">
      <c r="A86" s="11"/>
      <c r="B86" s="6"/>
      <c r="C86" s="6"/>
      <c r="D86" s="6"/>
      <c r="E86" s="11"/>
      <c r="F86" s="6"/>
      <c r="G86" s="6"/>
      <c r="H86" s="6"/>
      <c r="I86" s="6"/>
      <c r="J86" s="6"/>
      <c r="K86" s="6"/>
      <c r="L86" s="6"/>
      <c r="M86" s="6"/>
      <c r="N86" s="6"/>
      <c r="O86" s="6"/>
      <c r="P86" s="6"/>
      <c r="Q86" s="11"/>
      <c r="R86" s="6"/>
      <c r="S86" s="6"/>
      <c r="T86" s="11"/>
      <c r="U86" s="11"/>
      <c r="V86" s="11"/>
      <c r="W86" s="11"/>
      <c r="X86" s="11"/>
      <c r="Y86" s="11"/>
      <c r="Z86" s="11"/>
      <c r="AA86" s="11"/>
      <c r="AB86" s="11"/>
      <c r="AC86" s="11"/>
      <c r="AD86" s="11"/>
      <c r="AE86" s="11"/>
      <c r="AF86" s="11"/>
      <c r="AG86" s="11"/>
    </row>
    <row r="87" spans="1:33" ht="11.25">
      <c r="A87" s="11"/>
      <c r="B87" s="6"/>
      <c r="C87" s="6"/>
      <c r="D87" s="6"/>
      <c r="E87" s="11"/>
      <c r="F87" s="6"/>
      <c r="G87" s="6"/>
      <c r="H87" s="6"/>
      <c r="I87" s="6"/>
      <c r="J87" s="6"/>
      <c r="K87" s="6"/>
      <c r="L87" s="6"/>
      <c r="M87" s="6"/>
      <c r="N87" s="6"/>
      <c r="O87" s="6"/>
      <c r="P87" s="6"/>
      <c r="Q87" s="11"/>
      <c r="R87" s="6"/>
      <c r="S87" s="6"/>
      <c r="T87" s="11"/>
      <c r="U87" s="11"/>
      <c r="V87" s="11"/>
      <c r="W87" s="11"/>
      <c r="X87" s="11"/>
      <c r="Y87" s="11"/>
      <c r="Z87" s="11"/>
      <c r="AA87" s="11"/>
      <c r="AB87" s="11"/>
      <c r="AC87" s="11"/>
      <c r="AD87" s="11"/>
      <c r="AE87" s="11"/>
      <c r="AF87" s="11"/>
      <c r="AG87" s="11"/>
    </row>
    <row r="88" spans="1:33" ht="11.25">
      <c r="A88" s="11"/>
      <c r="B88" s="6"/>
      <c r="C88" s="6"/>
      <c r="D88" s="6"/>
      <c r="E88" s="11"/>
      <c r="F88" s="6"/>
      <c r="G88" s="6"/>
      <c r="H88" s="6"/>
      <c r="I88" s="6"/>
      <c r="J88" s="6"/>
      <c r="K88" s="6"/>
      <c r="L88" s="6"/>
      <c r="M88" s="6"/>
      <c r="N88" s="6"/>
      <c r="O88" s="6"/>
      <c r="P88" s="6"/>
      <c r="Q88" s="11"/>
      <c r="R88" s="6"/>
      <c r="S88" s="6"/>
      <c r="T88" s="11"/>
      <c r="U88" s="11"/>
      <c r="V88" s="11"/>
      <c r="W88" s="11"/>
      <c r="X88" s="11"/>
      <c r="Y88" s="11"/>
      <c r="Z88" s="11"/>
      <c r="AA88" s="11"/>
      <c r="AB88" s="11"/>
      <c r="AC88" s="11"/>
      <c r="AD88" s="11"/>
      <c r="AE88" s="11"/>
      <c r="AF88" s="11"/>
      <c r="AG88" s="11"/>
    </row>
    <row r="89" spans="1:33" ht="11.25">
      <c r="A89" s="11"/>
      <c r="B89" s="6"/>
      <c r="C89" s="6"/>
      <c r="D89" s="6"/>
      <c r="E89" s="11"/>
      <c r="F89" s="6"/>
      <c r="G89" s="6"/>
      <c r="H89" s="6"/>
      <c r="I89" s="6"/>
      <c r="J89" s="6"/>
      <c r="K89" s="6"/>
      <c r="L89" s="6"/>
      <c r="M89" s="6"/>
      <c r="N89" s="6"/>
      <c r="O89" s="6"/>
      <c r="P89" s="6"/>
      <c r="Q89" s="11"/>
      <c r="R89" s="6"/>
      <c r="S89" s="6"/>
      <c r="T89" s="11"/>
      <c r="U89" s="11"/>
      <c r="V89" s="11"/>
      <c r="W89" s="11"/>
      <c r="X89" s="11"/>
      <c r="Y89" s="11"/>
      <c r="Z89" s="11"/>
      <c r="AA89" s="11"/>
      <c r="AB89" s="11"/>
      <c r="AC89" s="11"/>
      <c r="AD89" s="11"/>
      <c r="AE89" s="11"/>
      <c r="AF89" s="11"/>
      <c r="AG89" s="11"/>
    </row>
    <row r="90" spans="1:33" ht="11.25">
      <c r="A90" s="11"/>
      <c r="B90" s="6"/>
      <c r="C90" s="6"/>
      <c r="D90" s="6"/>
      <c r="E90" s="11"/>
      <c r="F90" s="6"/>
      <c r="G90" s="6"/>
      <c r="H90" s="6"/>
      <c r="I90" s="6"/>
      <c r="J90" s="6"/>
      <c r="K90" s="6"/>
      <c r="L90" s="6"/>
      <c r="M90" s="6"/>
      <c r="N90" s="6"/>
      <c r="O90" s="6"/>
      <c r="P90" s="6"/>
      <c r="Q90" s="11"/>
      <c r="R90" s="6"/>
      <c r="S90" s="6"/>
      <c r="T90" s="11"/>
      <c r="U90" s="11"/>
      <c r="V90" s="11"/>
      <c r="W90" s="11"/>
      <c r="X90" s="11"/>
      <c r="Y90" s="11"/>
      <c r="Z90" s="11"/>
      <c r="AA90" s="11"/>
      <c r="AB90" s="11"/>
      <c r="AC90" s="11"/>
      <c r="AD90" s="11"/>
      <c r="AE90" s="11"/>
      <c r="AF90" s="11"/>
      <c r="AG90" s="11"/>
    </row>
    <row r="91" spans="1:33" ht="11.25">
      <c r="A91" s="11"/>
      <c r="B91" s="6"/>
      <c r="C91" s="6"/>
      <c r="D91" s="6"/>
      <c r="E91" s="11"/>
      <c r="F91" s="6"/>
      <c r="G91" s="6"/>
      <c r="H91" s="6"/>
      <c r="I91" s="6"/>
      <c r="J91" s="6"/>
      <c r="K91" s="6"/>
      <c r="L91" s="6"/>
      <c r="M91" s="6"/>
      <c r="N91" s="6"/>
      <c r="O91" s="6"/>
      <c r="P91" s="6"/>
      <c r="Q91" s="11"/>
      <c r="R91" s="6"/>
      <c r="S91" s="6"/>
      <c r="T91" s="11"/>
      <c r="U91" s="11"/>
      <c r="V91" s="11"/>
      <c r="W91" s="11"/>
      <c r="X91" s="11"/>
      <c r="Y91" s="11"/>
      <c r="Z91" s="11"/>
      <c r="AA91" s="11"/>
      <c r="AB91" s="11"/>
      <c r="AC91" s="11"/>
      <c r="AD91" s="11"/>
      <c r="AE91" s="11"/>
      <c r="AF91" s="11"/>
      <c r="AG91" s="11"/>
    </row>
    <row r="92" spans="1:33" ht="11.25">
      <c r="A92" s="11"/>
      <c r="B92" s="6"/>
      <c r="C92" s="6"/>
      <c r="D92" s="6"/>
      <c r="E92" s="11"/>
      <c r="F92" s="6"/>
      <c r="G92" s="6"/>
      <c r="H92" s="6"/>
      <c r="I92" s="6"/>
      <c r="J92" s="6"/>
      <c r="K92" s="6"/>
      <c r="L92" s="6"/>
      <c r="M92" s="6"/>
      <c r="N92" s="6"/>
      <c r="O92" s="6"/>
      <c r="P92" s="6"/>
      <c r="Q92" s="11"/>
      <c r="R92" s="6"/>
      <c r="S92" s="6"/>
      <c r="T92" s="11"/>
      <c r="U92" s="11"/>
      <c r="V92" s="11"/>
      <c r="W92" s="11"/>
      <c r="X92" s="11"/>
      <c r="Y92" s="11"/>
      <c r="Z92" s="11"/>
      <c r="AA92" s="11"/>
      <c r="AB92" s="11"/>
      <c r="AC92" s="11"/>
      <c r="AD92" s="11"/>
      <c r="AE92" s="11"/>
      <c r="AF92" s="11"/>
      <c r="AG92" s="11"/>
    </row>
    <row r="93" spans="1:33" ht="11.25">
      <c r="A93" s="11"/>
      <c r="B93" s="6"/>
      <c r="C93" s="6"/>
      <c r="D93" s="6"/>
      <c r="E93" s="11"/>
      <c r="F93" s="6"/>
      <c r="G93" s="6"/>
      <c r="H93" s="6"/>
      <c r="I93" s="6"/>
      <c r="J93" s="6"/>
      <c r="K93" s="6"/>
      <c r="L93" s="6"/>
      <c r="M93" s="6"/>
      <c r="N93" s="6"/>
      <c r="O93" s="6"/>
      <c r="P93" s="6"/>
      <c r="Q93" s="11"/>
      <c r="R93" s="6"/>
      <c r="S93" s="6"/>
      <c r="T93" s="11"/>
      <c r="U93" s="11"/>
      <c r="V93" s="11"/>
      <c r="W93" s="11"/>
      <c r="X93" s="11"/>
      <c r="Y93" s="11"/>
      <c r="Z93" s="11"/>
      <c r="AA93" s="11"/>
      <c r="AB93" s="11"/>
      <c r="AC93" s="11"/>
      <c r="AD93" s="11"/>
      <c r="AE93" s="11"/>
      <c r="AF93" s="11"/>
      <c r="AG93" s="11"/>
    </row>
    <row r="94" spans="1:33" ht="11.25">
      <c r="A94" s="11"/>
      <c r="B94" s="6"/>
      <c r="C94" s="6"/>
      <c r="D94" s="6"/>
      <c r="E94" s="11"/>
      <c r="F94" s="6"/>
      <c r="G94" s="6"/>
      <c r="H94" s="6"/>
      <c r="I94" s="6"/>
      <c r="J94" s="6"/>
      <c r="K94" s="6"/>
      <c r="L94" s="6"/>
      <c r="M94" s="6"/>
      <c r="N94" s="6"/>
      <c r="O94" s="6"/>
      <c r="P94" s="6"/>
      <c r="Q94" s="11"/>
      <c r="R94" s="6"/>
      <c r="S94" s="6"/>
      <c r="T94" s="11"/>
      <c r="U94" s="11"/>
      <c r="V94" s="11"/>
      <c r="W94" s="11"/>
      <c r="X94" s="11"/>
      <c r="Y94" s="11"/>
      <c r="Z94" s="11"/>
      <c r="AA94" s="11"/>
      <c r="AB94" s="11"/>
      <c r="AC94" s="11"/>
      <c r="AD94" s="11"/>
      <c r="AE94" s="11"/>
      <c r="AF94" s="11"/>
      <c r="AG94" s="11"/>
    </row>
    <row r="95" spans="30:33" ht="11.25">
      <c r="AD95" s="66"/>
      <c r="AE95" s="66"/>
      <c r="AF95" s="66"/>
      <c r="AG95" s="66"/>
    </row>
    <row r="96" spans="31:32" ht="11.25">
      <c r="AE96" s="66"/>
      <c r="AF96" s="66"/>
    </row>
  </sheetData>
  <sheetProtection/>
  <protectedRanges>
    <protectedRange sqref="C2:R4 A8:A10 A15:A17 A27:A28 B8:D17 C18:D27 T8:T12 C49:S52 G8:P27" name="範囲1"/>
  </protectedRanges>
  <mergeCells count="17">
    <mergeCell ref="G45:L46"/>
    <mergeCell ref="B30:C30"/>
    <mergeCell ref="C2:R4"/>
    <mergeCell ref="A27:A28"/>
    <mergeCell ref="A4:A7"/>
    <mergeCell ref="A18:A22"/>
    <mergeCell ref="A24:A26"/>
    <mergeCell ref="Z1:Z14"/>
    <mergeCell ref="Z15:Z16"/>
    <mergeCell ref="C52:S52"/>
    <mergeCell ref="A12:A14"/>
    <mergeCell ref="A15:A17"/>
    <mergeCell ref="A8:A10"/>
    <mergeCell ref="C49:S49"/>
    <mergeCell ref="C50:S50"/>
    <mergeCell ref="C51:S51"/>
    <mergeCell ref="F45:F46"/>
  </mergeCells>
  <conditionalFormatting sqref="Q28">
    <cfRule type="cellIs" priority="1" dxfId="0" operator="equal" stopIfTrue="1">
      <formula>$R$32</formula>
    </cfRule>
  </conditionalFormatting>
  <conditionalFormatting sqref="B8:B17">
    <cfRule type="cellIs" priority="2" dxfId="1" operator="notEqual" stopIfTrue="1">
      <formula>""</formula>
    </cfRule>
  </conditionalFormatting>
  <conditionalFormatting sqref="C8:D27">
    <cfRule type="cellIs" priority="3" dxfId="2" operator="notEqual" stopIfTrue="1">
      <formula>""</formula>
    </cfRule>
  </conditionalFormatting>
  <conditionalFormatting sqref="G8:P27">
    <cfRule type="cellIs" priority="4" dxfId="3" operator="equal" stopIfTrue="1">
      <formula>"◎"</formula>
    </cfRule>
    <cfRule type="cellIs" priority="5" dxfId="4" operator="equal" stopIfTrue="1">
      <formula>"○"</formula>
    </cfRule>
    <cfRule type="cellIs" priority="6" dxfId="2" operator="equal" stopIfTrue="1">
      <formula>"×"</formula>
    </cfRule>
  </conditionalFormatting>
  <conditionalFormatting sqref="C2:R4">
    <cfRule type="cellIs" priority="7" dxfId="5" operator="equal" stopIfTrue="1">
      <formula>""</formula>
    </cfRule>
  </conditionalFormatting>
  <conditionalFormatting sqref="A8:A10">
    <cfRule type="cellIs" priority="8" dxfId="6" operator="equal" stopIfTrue="1">
      <formula>"指定の曜日を自動抽出"</formula>
    </cfRule>
    <cfRule type="cellIs" priority="9" dxfId="7" operator="notEqual" stopIfTrue="1">
      <formula>"手入力のみで候補日を入力"</formula>
    </cfRule>
  </conditionalFormatting>
  <conditionalFormatting sqref="F8:F27">
    <cfRule type="cellIs" priority="10" dxfId="8" operator="notEqual" stopIfTrue="1">
      <formula>""</formula>
    </cfRule>
  </conditionalFormatting>
  <conditionalFormatting sqref="G7:P7">
    <cfRule type="cellIs" priority="11" dxfId="9" operator="notEqual" stopIfTrue="1">
      <formula>""</formula>
    </cfRule>
  </conditionalFormatting>
  <conditionalFormatting sqref="F7">
    <cfRule type="expression" priority="12" dxfId="10" stopIfTrue="1">
      <formula>$G$7&lt;&gt;""</formula>
    </cfRule>
  </conditionalFormatting>
  <conditionalFormatting sqref="G28:P28">
    <cfRule type="cellIs" priority="13" dxfId="0" operator="equal" stopIfTrue="1">
      <formula>ROUND($R$32,0)-10</formula>
    </cfRule>
  </conditionalFormatting>
  <dataValidations count="7">
    <dataValidation allowBlank="1" showInputMessage="1" showErrorMessage="1" prompt="入力範囲外です。" sqref="C31:C48 S31:S48 R20:R48 F7:F27 C1:T1 B5:T6 B7:D7 G7:P7 B28:C29 T13:T53 E7:E28 S2:T5 Q7:Q28 B18:B28 A29:A55 B31:B55 S20:S29 C53:U55 U1:U52 A11:A14 A1:B4 R7:S18 A18 A23:A26 T7 D28:G48 H29:Q48 H28:P28"/>
    <dataValidation type="list" allowBlank="1" showInputMessage="1" showErrorMessage="1" sqref="G8:P27">
      <formula1>$R$8:$R$12</formula1>
    </dataValidation>
    <dataValidation type="list" allowBlank="1" showInputMessage="1" showErrorMessage="1" sqref="D8:D27">
      <formula1>$R$16:$R$18</formula1>
    </dataValidation>
    <dataValidation type="list" allowBlank="1" showInputMessage="1" showErrorMessage="1" sqref="A8:A10">
      <formula1>"手入力のみで候補日を入力,翌日が休日の平日を自動抽出,翌日が休日の休日を自動抽出,休日を自動抽出,指定の曜日を自動抽出"</formula1>
    </dataValidation>
    <dataValidation type="list" allowBlank="1" showInputMessage="1" showErrorMessage="1" sqref="A15:A17">
      <formula1>"-,３日分,５日分,８日分"</formula1>
    </dataValidation>
    <dataValidation type="list" allowBlank="1" showInputMessage="1" showErrorMessage="1" sqref="A27:A28">
      <formula1>"-,月曜日,火曜日,水曜日,木曜日,金曜日,土曜日,日曜日"</formula1>
    </dataValidation>
    <dataValidation allowBlank="1" showErrorMessage="1" sqref="T8:T12"/>
  </dataValidations>
  <hyperlinks>
    <hyperlink ref="AA25" r:id="rId1" display="http://www.h3.dion.ne.jp/~sakatsu/holiday_topic.htm"/>
  </hyperlinks>
  <printOptions/>
  <pageMargins left="0.6299212598425197" right="0.5905511811023623" top="1.1811023622047245" bottom="0.7874015748031497" header="0.5118110236220472" footer="0.5118110236220472"/>
  <pageSetup horizontalDpi="300" verticalDpi="300" orientation="landscape" paperSize="9" r:id="rId7"/>
  <drawing r:id="rId6"/>
  <legacyDrawing r:id="rId3"/>
  <tableParts>
    <tablePart r:id="rId5"/>
    <tablePart r:id="rId4"/>
  </tableParts>
</worksheet>
</file>

<file path=xl/worksheets/sheet2.xml><?xml version="1.0" encoding="utf-8"?>
<worksheet xmlns="http://schemas.openxmlformats.org/spreadsheetml/2006/main" xmlns:r="http://schemas.openxmlformats.org/officeDocument/2006/relationships">
  <sheetPr>
    <tabColor indexed="45"/>
  </sheetPr>
  <dimension ref="A1:AF44"/>
  <sheetViews>
    <sheetView workbookViewId="0" topLeftCell="A1">
      <selection activeCell="A1" sqref="A1"/>
    </sheetView>
  </sheetViews>
  <sheetFormatPr defaultColWidth="9.00390625" defaultRowHeight="12"/>
  <cols>
    <col min="1" max="19" width="5.875" style="0" customWidth="1"/>
    <col min="20" max="20" width="2.875" style="0" customWidth="1"/>
    <col min="21" max="29" width="5.875" style="0" customWidth="1"/>
    <col min="30" max="30" width="5.875" style="5" customWidth="1"/>
    <col min="31" max="16384" width="5.875" style="0" customWidth="1"/>
  </cols>
  <sheetData>
    <row r="1" spans="1:28" ht="11.2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28" ht="11.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ht="11.25">
      <c r="A3" s="67" t="s">
        <v>24</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32" ht="11.25">
      <c r="A4" s="11"/>
      <c r="B4" s="11"/>
      <c r="C4" s="11"/>
      <c r="D4" s="11"/>
      <c r="E4" s="11"/>
      <c r="F4" s="11"/>
      <c r="G4" s="11"/>
      <c r="H4" s="11"/>
      <c r="I4" s="11"/>
      <c r="J4" s="11"/>
      <c r="K4" s="11"/>
      <c r="L4" s="11"/>
      <c r="M4" s="11"/>
      <c r="N4" s="11"/>
      <c r="O4" s="11"/>
      <c r="P4" s="11"/>
      <c r="Q4" s="11"/>
      <c r="R4" s="11"/>
      <c r="S4" s="11"/>
      <c r="T4" s="68"/>
      <c r="U4" s="11"/>
      <c r="V4" s="11"/>
      <c r="W4" s="11"/>
      <c r="X4" s="11"/>
      <c r="Y4" s="11"/>
      <c r="Z4" s="11"/>
      <c r="AA4" s="11"/>
      <c r="AB4" s="11"/>
      <c r="AF4" s="64"/>
    </row>
    <row r="5" spans="1:32" ht="11.25">
      <c r="A5" s="11"/>
      <c r="B5" s="11" t="s">
        <v>29</v>
      </c>
      <c r="C5" s="11"/>
      <c r="D5" s="11"/>
      <c r="E5" s="11"/>
      <c r="F5" s="11"/>
      <c r="G5" s="11"/>
      <c r="H5" s="11"/>
      <c r="I5" s="11"/>
      <c r="J5" s="11"/>
      <c r="K5" s="11"/>
      <c r="L5" s="11"/>
      <c r="M5" s="11"/>
      <c r="N5" s="11"/>
      <c r="O5" s="11"/>
      <c r="P5" s="11"/>
      <c r="Q5" s="11"/>
      <c r="R5" s="11"/>
      <c r="S5" s="11"/>
      <c r="T5" s="68"/>
      <c r="U5" s="11"/>
      <c r="V5" s="11"/>
      <c r="W5" s="11"/>
      <c r="X5" s="11"/>
      <c r="Y5" s="11"/>
      <c r="Z5" s="11"/>
      <c r="AA5" s="11"/>
      <c r="AB5" s="11"/>
      <c r="AF5" s="64"/>
    </row>
    <row r="6" spans="1:32" ht="11.25">
      <c r="A6" s="11"/>
      <c r="B6" s="11"/>
      <c r="C6" s="11"/>
      <c r="D6" s="11"/>
      <c r="E6" s="11"/>
      <c r="F6" s="11"/>
      <c r="G6" s="11"/>
      <c r="H6" s="11"/>
      <c r="I6" s="11"/>
      <c r="J6" s="11"/>
      <c r="K6" s="11"/>
      <c r="L6" s="11"/>
      <c r="M6" s="11"/>
      <c r="N6" s="11"/>
      <c r="O6" s="11"/>
      <c r="P6" s="11"/>
      <c r="Q6" s="11"/>
      <c r="R6" s="11"/>
      <c r="S6" s="11"/>
      <c r="T6" s="68"/>
      <c r="U6" s="11" t="s">
        <v>144</v>
      </c>
      <c r="V6" s="11"/>
      <c r="W6" s="11"/>
      <c r="X6" s="11"/>
      <c r="Y6" s="11"/>
      <c r="Z6" s="11"/>
      <c r="AA6" s="11"/>
      <c r="AB6" s="11"/>
      <c r="AF6" s="64"/>
    </row>
    <row r="7" spans="1:32" ht="11.25">
      <c r="A7" s="11"/>
      <c r="B7" s="11" t="s">
        <v>115</v>
      </c>
      <c r="C7" s="11"/>
      <c r="D7" s="11"/>
      <c r="E7" s="11"/>
      <c r="F7" s="11"/>
      <c r="G7" s="11"/>
      <c r="H7" s="11"/>
      <c r="I7" s="11"/>
      <c r="J7" s="11"/>
      <c r="K7" s="11"/>
      <c r="L7" s="11"/>
      <c r="M7" s="11"/>
      <c r="N7" s="11"/>
      <c r="O7" s="11"/>
      <c r="P7" s="11"/>
      <c r="Q7" s="11"/>
      <c r="R7" s="11"/>
      <c r="S7" s="11"/>
      <c r="T7" s="68"/>
      <c r="U7" s="11"/>
      <c r="V7" s="11"/>
      <c r="W7" s="11"/>
      <c r="X7" s="11"/>
      <c r="Y7" s="11"/>
      <c r="Z7" s="11"/>
      <c r="AA7" s="11"/>
      <c r="AB7" s="11"/>
      <c r="AF7" s="64"/>
    </row>
    <row r="8" spans="1:32" ht="11.25">
      <c r="A8" s="11"/>
      <c r="B8" s="11"/>
      <c r="C8" s="11"/>
      <c r="D8" s="11"/>
      <c r="E8" s="11"/>
      <c r="F8" s="11"/>
      <c r="G8" s="11"/>
      <c r="H8" s="11"/>
      <c r="I8" s="11"/>
      <c r="J8" s="11"/>
      <c r="K8" s="11"/>
      <c r="L8" s="11"/>
      <c r="M8" s="11"/>
      <c r="N8" s="11"/>
      <c r="O8" s="11"/>
      <c r="P8" s="11"/>
      <c r="Q8" s="11"/>
      <c r="R8" s="11"/>
      <c r="S8" s="11"/>
      <c r="T8" s="68"/>
      <c r="U8" s="11" t="s">
        <v>128</v>
      </c>
      <c r="V8" s="11"/>
      <c r="W8" s="11"/>
      <c r="X8" s="11"/>
      <c r="Y8" s="11"/>
      <c r="Z8" s="11"/>
      <c r="AA8" s="11"/>
      <c r="AB8" s="11"/>
      <c r="AF8" s="64"/>
    </row>
    <row r="9" spans="1:32" ht="11.25">
      <c r="A9" s="11"/>
      <c r="B9" s="11" t="s">
        <v>102</v>
      </c>
      <c r="C9" s="11"/>
      <c r="D9" s="11"/>
      <c r="E9" s="11"/>
      <c r="F9" s="11"/>
      <c r="G9" s="11"/>
      <c r="H9" s="11"/>
      <c r="I9" s="11"/>
      <c r="J9" s="11"/>
      <c r="K9" s="11"/>
      <c r="L9" s="11"/>
      <c r="M9" s="11"/>
      <c r="N9" s="11"/>
      <c r="O9" s="11"/>
      <c r="P9" s="11"/>
      <c r="Q9" s="11"/>
      <c r="R9" s="11"/>
      <c r="S9" s="11"/>
      <c r="T9" s="68"/>
      <c r="U9" s="105" t="s">
        <v>129</v>
      </c>
      <c r="V9" s="11"/>
      <c r="W9" s="11"/>
      <c r="X9" s="11"/>
      <c r="Y9" s="11"/>
      <c r="Z9" s="11"/>
      <c r="AA9" s="11"/>
      <c r="AB9" s="11"/>
      <c r="AF9" s="64"/>
    </row>
    <row r="10" spans="1:32" ht="11.25">
      <c r="A10" s="11"/>
      <c r="B10" s="11" t="s">
        <v>100</v>
      </c>
      <c r="C10" s="11"/>
      <c r="D10" s="11"/>
      <c r="E10" s="11"/>
      <c r="F10" s="11"/>
      <c r="G10" s="11"/>
      <c r="H10" s="11"/>
      <c r="I10" s="11"/>
      <c r="J10" s="11"/>
      <c r="K10" s="11"/>
      <c r="L10" s="11"/>
      <c r="M10" s="11"/>
      <c r="N10" s="11"/>
      <c r="O10" s="11"/>
      <c r="P10" s="11"/>
      <c r="Q10" s="11"/>
      <c r="R10" s="11"/>
      <c r="S10" s="11"/>
      <c r="T10" s="68"/>
      <c r="U10" s="105" t="s">
        <v>130</v>
      </c>
      <c r="V10" s="11"/>
      <c r="W10" s="11"/>
      <c r="X10" s="11"/>
      <c r="Y10" s="11"/>
      <c r="Z10" s="11"/>
      <c r="AA10" s="11"/>
      <c r="AB10" s="11"/>
      <c r="AF10" s="64"/>
    </row>
    <row r="11" spans="1:32" ht="11.25">
      <c r="A11" s="11"/>
      <c r="B11" s="11"/>
      <c r="C11" s="11"/>
      <c r="D11" s="11"/>
      <c r="E11" s="11"/>
      <c r="F11" s="11"/>
      <c r="G11" s="11"/>
      <c r="H11" s="11"/>
      <c r="I11" s="11"/>
      <c r="J11" s="11"/>
      <c r="K11" s="11"/>
      <c r="L11" s="11"/>
      <c r="M11" s="11"/>
      <c r="N11" s="11"/>
      <c r="O11" s="11"/>
      <c r="P11" s="11"/>
      <c r="Q11" s="11"/>
      <c r="R11" s="11"/>
      <c r="S11" s="11"/>
      <c r="T11" s="68"/>
      <c r="U11" s="11" t="s">
        <v>123</v>
      </c>
      <c r="V11" s="11"/>
      <c r="W11" s="11"/>
      <c r="X11" s="11"/>
      <c r="Y11" s="11"/>
      <c r="Z11" s="11"/>
      <c r="AA11" s="11"/>
      <c r="AB11" s="11"/>
      <c r="AF11" s="64"/>
    </row>
    <row r="12" spans="1:32" ht="11.25">
      <c r="A12" s="11"/>
      <c r="B12" s="11" t="s">
        <v>116</v>
      </c>
      <c r="C12" s="11"/>
      <c r="D12" s="11"/>
      <c r="E12" s="11"/>
      <c r="F12" s="11"/>
      <c r="G12" s="11"/>
      <c r="H12" s="11"/>
      <c r="I12" s="11"/>
      <c r="J12" s="11"/>
      <c r="K12" s="11"/>
      <c r="L12" s="11"/>
      <c r="M12" s="11"/>
      <c r="N12" s="11"/>
      <c r="O12" s="11"/>
      <c r="P12" s="11"/>
      <c r="Q12" s="11"/>
      <c r="R12" s="11"/>
      <c r="S12" s="11"/>
      <c r="T12" s="68"/>
      <c r="U12" s="11" t="s">
        <v>124</v>
      </c>
      <c r="V12" s="11"/>
      <c r="W12" s="11"/>
      <c r="X12" s="11"/>
      <c r="Y12" s="11"/>
      <c r="Z12" s="11"/>
      <c r="AA12" s="11"/>
      <c r="AB12" s="11"/>
      <c r="AF12" s="64"/>
    </row>
    <row r="13" spans="1:32" ht="11.25">
      <c r="A13" s="11"/>
      <c r="B13" s="11" t="s">
        <v>117</v>
      </c>
      <c r="C13" s="11"/>
      <c r="D13" s="11"/>
      <c r="E13" s="11"/>
      <c r="F13" s="11"/>
      <c r="G13" s="11"/>
      <c r="H13" s="11"/>
      <c r="I13" s="11"/>
      <c r="J13" s="11"/>
      <c r="K13" s="11"/>
      <c r="L13" s="11"/>
      <c r="M13" s="11"/>
      <c r="N13" s="11"/>
      <c r="O13" s="11"/>
      <c r="P13" s="11"/>
      <c r="Q13" s="11"/>
      <c r="R13" s="11"/>
      <c r="S13" s="11"/>
      <c r="T13" s="68"/>
      <c r="U13" s="11"/>
      <c r="V13" s="11"/>
      <c r="W13" s="11"/>
      <c r="X13" s="11"/>
      <c r="Y13" s="11"/>
      <c r="Z13" s="11"/>
      <c r="AA13" s="11"/>
      <c r="AB13" s="11"/>
      <c r="AF13" s="64"/>
    </row>
    <row r="14" spans="1:32" ht="11.25">
      <c r="A14" s="11"/>
      <c r="B14" s="11"/>
      <c r="C14" s="11"/>
      <c r="D14" s="11"/>
      <c r="E14" s="11"/>
      <c r="F14" s="11"/>
      <c r="G14" s="11"/>
      <c r="H14" s="11"/>
      <c r="I14" s="11"/>
      <c r="J14" s="11"/>
      <c r="K14" s="11"/>
      <c r="L14" s="11"/>
      <c r="M14" s="11"/>
      <c r="N14" s="11"/>
      <c r="O14" s="11"/>
      <c r="P14" s="11"/>
      <c r="Q14" s="11"/>
      <c r="R14" s="11"/>
      <c r="S14" s="11"/>
      <c r="T14" s="68"/>
      <c r="U14" s="11" t="s">
        <v>26</v>
      </c>
      <c r="V14" s="11"/>
      <c r="W14" s="11"/>
      <c r="X14" s="11"/>
      <c r="Y14" s="11"/>
      <c r="Z14" s="11"/>
      <c r="AA14" s="11"/>
      <c r="AB14" s="11"/>
      <c r="AF14" s="64"/>
    </row>
    <row r="15" spans="1:32" ht="11.25">
      <c r="A15" s="11"/>
      <c r="B15" s="11" t="s">
        <v>122</v>
      </c>
      <c r="C15" s="11"/>
      <c r="D15" s="11"/>
      <c r="E15" s="11"/>
      <c r="F15" s="11"/>
      <c r="G15" s="11"/>
      <c r="H15" s="11"/>
      <c r="I15" s="11"/>
      <c r="J15" s="11"/>
      <c r="K15" s="11"/>
      <c r="L15" s="11"/>
      <c r="M15" s="11"/>
      <c r="N15" s="11"/>
      <c r="O15" s="11"/>
      <c r="P15" s="11"/>
      <c r="Q15" s="11"/>
      <c r="R15" s="11"/>
      <c r="S15" s="11"/>
      <c r="T15" s="68"/>
      <c r="U15" s="11" t="s">
        <v>27</v>
      </c>
      <c r="V15" s="11"/>
      <c r="W15" s="11"/>
      <c r="X15" s="11"/>
      <c r="Y15" s="11"/>
      <c r="Z15" s="11"/>
      <c r="AA15" s="11"/>
      <c r="AB15" s="11"/>
      <c r="AF15" s="64"/>
    </row>
    <row r="16" spans="1:32" ht="11.25">
      <c r="A16" s="11"/>
      <c r="B16" s="11"/>
      <c r="C16" s="11"/>
      <c r="D16" s="11"/>
      <c r="E16" s="11"/>
      <c r="F16" s="11"/>
      <c r="G16" s="11"/>
      <c r="H16" s="11"/>
      <c r="I16" s="11"/>
      <c r="J16" s="11"/>
      <c r="K16" s="11"/>
      <c r="L16" s="11"/>
      <c r="M16" s="11"/>
      <c r="N16" s="11"/>
      <c r="O16" s="11"/>
      <c r="P16" s="11"/>
      <c r="Q16" s="11"/>
      <c r="R16" s="11"/>
      <c r="S16" s="11"/>
      <c r="T16" s="68"/>
      <c r="U16" s="11"/>
      <c r="V16" s="11"/>
      <c r="W16" s="11"/>
      <c r="X16" s="11"/>
      <c r="Y16" s="11"/>
      <c r="Z16" s="11"/>
      <c r="AA16" s="11"/>
      <c r="AB16" s="11"/>
      <c r="AF16" s="64"/>
    </row>
    <row r="17" spans="1:32" ht="11.25">
      <c r="A17" s="11"/>
      <c r="B17" s="11" t="s">
        <v>98</v>
      </c>
      <c r="C17" s="11"/>
      <c r="D17" s="11"/>
      <c r="E17" s="11"/>
      <c r="F17" s="11"/>
      <c r="G17" s="11"/>
      <c r="H17" s="11"/>
      <c r="I17" s="11"/>
      <c r="J17" s="11"/>
      <c r="K17" s="11"/>
      <c r="L17" s="11"/>
      <c r="M17" s="11"/>
      <c r="N17" s="11"/>
      <c r="O17" s="11"/>
      <c r="P17" s="11"/>
      <c r="Q17" s="11"/>
      <c r="R17" s="11"/>
      <c r="S17" s="11"/>
      <c r="T17" s="68"/>
      <c r="U17" s="11" t="s">
        <v>139</v>
      </c>
      <c r="V17" s="11"/>
      <c r="W17" s="11"/>
      <c r="X17" s="11"/>
      <c r="Y17" s="11"/>
      <c r="Z17" s="11"/>
      <c r="AA17" s="11"/>
      <c r="AB17" s="11"/>
      <c r="AF17" s="64"/>
    </row>
    <row r="18" spans="1:32" ht="11.25">
      <c r="A18" s="11"/>
      <c r="B18" s="11"/>
      <c r="C18" s="11"/>
      <c r="D18" s="11"/>
      <c r="E18" s="11"/>
      <c r="F18" s="11"/>
      <c r="G18" s="11"/>
      <c r="H18" s="11"/>
      <c r="I18" s="11"/>
      <c r="J18" s="11"/>
      <c r="K18" s="11"/>
      <c r="L18" s="11"/>
      <c r="M18" s="11"/>
      <c r="N18" s="11"/>
      <c r="O18" s="11"/>
      <c r="P18" s="11"/>
      <c r="Q18" s="11"/>
      <c r="R18" s="11"/>
      <c r="S18" s="11"/>
      <c r="T18" s="68"/>
      <c r="U18" s="11" t="s">
        <v>140</v>
      </c>
      <c r="V18" s="11"/>
      <c r="W18" s="11"/>
      <c r="X18" s="11"/>
      <c r="Y18" s="11"/>
      <c r="Z18" s="11"/>
      <c r="AA18" s="11"/>
      <c r="AB18" s="11"/>
      <c r="AF18" s="64"/>
    </row>
    <row r="19" spans="1:32" ht="11.25">
      <c r="A19" s="11"/>
      <c r="B19" s="11" t="s">
        <v>99</v>
      </c>
      <c r="C19" s="11"/>
      <c r="D19" s="11"/>
      <c r="E19" s="11"/>
      <c r="F19" s="11"/>
      <c r="G19" s="11"/>
      <c r="H19" s="11"/>
      <c r="I19" s="11"/>
      <c r="J19" s="11"/>
      <c r="K19" s="11"/>
      <c r="L19" s="11"/>
      <c r="M19" s="11"/>
      <c r="N19" s="11"/>
      <c r="O19" s="11"/>
      <c r="P19" s="11"/>
      <c r="Q19" s="11"/>
      <c r="R19" s="11"/>
      <c r="S19" s="11"/>
      <c r="T19" s="68"/>
      <c r="U19" s="11"/>
      <c r="V19" s="11"/>
      <c r="W19" s="11"/>
      <c r="X19" s="11"/>
      <c r="Y19" s="11"/>
      <c r="Z19" s="11"/>
      <c r="AA19" s="11"/>
      <c r="AB19" s="11"/>
      <c r="AF19" s="64"/>
    </row>
    <row r="20" spans="1:32" ht="11.25">
      <c r="A20" s="11"/>
      <c r="B20" s="11"/>
      <c r="C20" s="11"/>
      <c r="D20" s="11"/>
      <c r="E20" s="11"/>
      <c r="F20" s="11"/>
      <c r="G20" s="11"/>
      <c r="H20" s="11"/>
      <c r="I20" s="11"/>
      <c r="J20" s="11"/>
      <c r="K20" s="11"/>
      <c r="L20" s="11"/>
      <c r="M20" s="11"/>
      <c r="N20" s="11"/>
      <c r="O20" s="11"/>
      <c r="P20" s="11"/>
      <c r="Q20" s="11"/>
      <c r="R20" s="11"/>
      <c r="S20" s="11"/>
      <c r="T20" s="68"/>
      <c r="U20" s="11" t="s">
        <v>118</v>
      </c>
      <c r="V20" s="11"/>
      <c r="W20" s="11"/>
      <c r="X20" s="11"/>
      <c r="Y20" s="11"/>
      <c r="Z20" s="11"/>
      <c r="AA20" s="11"/>
      <c r="AB20" s="11"/>
      <c r="AF20" s="64"/>
    </row>
    <row r="21" spans="1:32" ht="11.25">
      <c r="A21" s="11"/>
      <c r="B21" s="11" t="s">
        <v>121</v>
      </c>
      <c r="C21" s="11"/>
      <c r="D21" s="11"/>
      <c r="E21" s="11"/>
      <c r="F21" s="11"/>
      <c r="G21" s="11"/>
      <c r="H21" s="11"/>
      <c r="I21" s="11"/>
      <c r="J21" s="11"/>
      <c r="K21" s="11"/>
      <c r="L21" s="11"/>
      <c r="M21" s="11"/>
      <c r="N21" s="11"/>
      <c r="O21" s="11"/>
      <c r="P21" s="11"/>
      <c r="Q21" s="11"/>
      <c r="R21" s="11"/>
      <c r="S21" s="11"/>
      <c r="T21" s="68"/>
      <c r="U21" s="11" t="s">
        <v>97</v>
      </c>
      <c r="V21" s="11"/>
      <c r="W21" s="11"/>
      <c r="X21" s="11"/>
      <c r="Y21" s="11"/>
      <c r="Z21" s="11"/>
      <c r="AA21" s="11"/>
      <c r="AB21" s="11"/>
      <c r="AF21" s="64"/>
    </row>
    <row r="22" spans="1:32" ht="11.25">
      <c r="A22" s="11"/>
      <c r="B22" s="11"/>
      <c r="C22" s="11"/>
      <c r="D22" s="11"/>
      <c r="E22" s="11"/>
      <c r="F22" s="11"/>
      <c r="G22" s="11"/>
      <c r="H22" s="11"/>
      <c r="I22" s="11"/>
      <c r="J22" s="11"/>
      <c r="K22" s="11"/>
      <c r="L22" s="11"/>
      <c r="M22" s="11"/>
      <c r="N22" s="11"/>
      <c r="O22" s="11"/>
      <c r="P22" s="11"/>
      <c r="Q22" s="11"/>
      <c r="R22" s="11"/>
      <c r="S22" s="11"/>
      <c r="T22" s="68"/>
      <c r="U22" s="11"/>
      <c r="V22" s="11"/>
      <c r="W22" s="11"/>
      <c r="X22" s="11"/>
      <c r="Y22" s="11"/>
      <c r="Z22" s="11"/>
      <c r="AA22" s="11"/>
      <c r="AB22" s="11"/>
      <c r="AF22" s="64"/>
    </row>
    <row r="23" spans="1:32" ht="11.25">
      <c r="A23" s="67"/>
      <c r="B23" s="11" t="s">
        <v>101</v>
      </c>
      <c r="C23" s="11"/>
      <c r="D23" s="11"/>
      <c r="E23" s="11"/>
      <c r="F23" s="11"/>
      <c r="G23" s="11"/>
      <c r="H23" s="11"/>
      <c r="I23" s="11"/>
      <c r="J23" s="11"/>
      <c r="K23" s="11"/>
      <c r="L23" s="11"/>
      <c r="M23" s="11"/>
      <c r="N23" s="11"/>
      <c r="O23" s="11"/>
      <c r="P23" s="11"/>
      <c r="Q23" s="11"/>
      <c r="R23" s="11"/>
      <c r="S23" s="11"/>
      <c r="T23" s="68"/>
      <c r="U23" s="118" t="s">
        <v>142</v>
      </c>
      <c r="V23" s="11"/>
      <c r="W23" s="11"/>
      <c r="X23" s="11"/>
      <c r="Y23" s="11"/>
      <c r="Z23" s="11"/>
      <c r="AA23" s="11"/>
      <c r="AB23" s="11"/>
      <c r="AF23" s="64"/>
    </row>
    <row r="24" spans="1:32" ht="11.25">
      <c r="A24" s="67"/>
      <c r="B24" s="11"/>
      <c r="C24" s="11"/>
      <c r="D24" s="11"/>
      <c r="E24" s="11"/>
      <c r="F24" s="11"/>
      <c r="G24" s="11"/>
      <c r="H24" s="11"/>
      <c r="I24" s="11"/>
      <c r="J24" s="11"/>
      <c r="K24" s="11"/>
      <c r="L24" s="11"/>
      <c r="M24" s="11"/>
      <c r="N24" s="11"/>
      <c r="O24" s="11"/>
      <c r="P24" s="11"/>
      <c r="Q24" s="11"/>
      <c r="R24" s="11"/>
      <c r="S24" s="11"/>
      <c r="T24" s="68"/>
      <c r="U24" s="11"/>
      <c r="V24" s="11"/>
      <c r="W24" s="11"/>
      <c r="X24" s="11"/>
      <c r="Y24" s="11"/>
      <c r="Z24" s="11"/>
      <c r="AA24" s="11"/>
      <c r="AB24" s="11"/>
      <c r="AF24" s="64"/>
    </row>
    <row r="25" spans="1:32" ht="11.25">
      <c r="A25" s="67"/>
      <c r="B25" s="11"/>
      <c r="C25" s="11"/>
      <c r="D25" s="11"/>
      <c r="E25" s="11"/>
      <c r="F25" s="11"/>
      <c r="G25" s="11"/>
      <c r="H25" s="11"/>
      <c r="I25" s="11"/>
      <c r="J25" s="11"/>
      <c r="K25" s="11"/>
      <c r="L25" s="11"/>
      <c r="M25" s="11"/>
      <c r="N25" s="11"/>
      <c r="O25" s="11"/>
      <c r="P25" s="11"/>
      <c r="Q25" s="11"/>
      <c r="R25" s="11"/>
      <c r="S25" s="11"/>
      <c r="T25" s="68"/>
      <c r="U25" s="11"/>
      <c r="V25" s="11"/>
      <c r="W25" s="11"/>
      <c r="X25" s="11"/>
      <c r="Y25" s="11"/>
      <c r="Z25" s="11"/>
      <c r="AA25" s="11"/>
      <c r="AB25" s="11"/>
      <c r="AF25" s="64"/>
    </row>
    <row r="26" spans="1:32" ht="11.25">
      <c r="A26" s="67" t="s">
        <v>95</v>
      </c>
      <c r="B26" s="11"/>
      <c r="C26" s="11"/>
      <c r="D26" s="11"/>
      <c r="E26" s="11"/>
      <c r="F26" s="11"/>
      <c r="G26" s="11"/>
      <c r="H26" s="11"/>
      <c r="I26" s="11"/>
      <c r="J26" s="11"/>
      <c r="K26" s="11"/>
      <c r="L26" s="11"/>
      <c r="M26" s="11"/>
      <c r="N26" s="11"/>
      <c r="O26" s="11"/>
      <c r="P26" s="11"/>
      <c r="Q26" s="11"/>
      <c r="R26" s="11"/>
      <c r="S26" s="11"/>
      <c r="T26" s="68"/>
      <c r="U26" s="69" t="s">
        <v>25</v>
      </c>
      <c r="V26" s="11"/>
      <c r="W26" s="11"/>
      <c r="X26" s="11"/>
      <c r="Y26" s="11"/>
      <c r="Z26" s="11"/>
      <c r="AA26" s="11"/>
      <c r="AB26" s="11"/>
      <c r="AF26" s="64"/>
    </row>
    <row r="27" spans="1:32" ht="11.25">
      <c r="A27" s="11"/>
      <c r="B27" s="11"/>
      <c r="C27" s="11"/>
      <c r="D27" s="11"/>
      <c r="E27" s="11"/>
      <c r="F27" s="11"/>
      <c r="G27" s="11"/>
      <c r="H27" s="11"/>
      <c r="I27" s="11"/>
      <c r="J27" s="11"/>
      <c r="K27" s="11"/>
      <c r="L27" s="11"/>
      <c r="M27" s="11"/>
      <c r="N27" s="11"/>
      <c r="O27" s="11"/>
      <c r="P27" s="11"/>
      <c r="Q27" s="11"/>
      <c r="R27" s="11"/>
      <c r="S27" s="11"/>
      <c r="T27" s="68"/>
      <c r="U27" s="11"/>
      <c r="V27" s="11"/>
      <c r="W27" s="11"/>
      <c r="X27" s="11"/>
      <c r="Y27" s="11"/>
      <c r="Z27" s="11"/>
      <c r="AA27" s="11"/>
      <c r="AB27" s="11"/>
      <c r="AF27" s="64"/>
    </row>
    <row r="28" spans="1:32" ht="11.25">
      <c r="A28" s="11"/>
      <c r="B28" s="11" t="s">
        <v>96</v>
      </c>
      <c r="C28" s="11"/>
      <c r="D28" s="11"/>
      <c r="E28" s="11"/>
      <c r="F28" s="11"/>
      <c r="G28" s="11"/>
      <c r="H28" s="11"/>
      <c r="I28" s="11"/>
      <c r="J28" s="11"/>
      <c r="K28" s="11"/>
      <c r="L28" s="11"/>
      <c r="M28" s="11"/>
      <c r="N28" s="11"/>
      <c r="O28" s="11"/>
      <c r="P28" s="11"/>
      <c r="Q28" s="11"/>
      <c r="R28" s="11"/>
      <c r="S28" s="11"/>
      <c r="T28" s="68"/>
      <c r="U28" s="11" t="s">
        <v>125</v>
      </c>
      <c r="V28" s="11"/>
      <c r="W28" s="11"/>
      <c r="X28" s="11"/>
      <c r="Y28" s="11"/>
      <c r="Z28" s="11"/>
      <c r="AA28" s="11"/>
      <c r="AB28" s="11"/>
      <c r="AF28" s="64"/>
    </row>
    <row r="29" spans="1:32" ht="11.25">
      <c r="A29" s="11"/>
      <c r="B29" s="11"/>
      <c r="C29" s="11"/>
      <c r="D29" s="11"/>
      <c r="E29" s="11"/>
      <c r="F29" s="11"/>
      <c r="G29" s="11"/>
      <c r="H29" s="11"/>
      <c r="I29" s="11"/>
      <c r="J29" s="11"/>
      <c r="K29" s="11"/>
      <c r="L29" s="11"/>
      <c r="M29" s="11"/>
      <c r="N29" s="11"/>
      <c r="O29" s="11"/>
      <c r="P29" s="11"/>
      <c r="Q29" s="11"/>
      <c r="R29" s="11"/>
      <c r="S29" s="11"/>
      <c r="T29" s="68"/>
      <c r="U29" s="11"/>
      <c r="V29" s="11"/>
      <c r="W29" s="11"/>
      <c r="X29" s="11"/>
      <c r="Y29" s="11"/>
      <c r="Z29" s="11"/>
      <c r="AA29" s="11"/>
      <c r="AB29" s="11"/>
      <c r="AF29" s="64"/>
    </row>
    <row r="30" spans="1:32" ht="11.25">
      <c r="A30" s="11"/>
      <c r="B30" s="11" t="s">
        <v>28</v>
      </c>
      <c r="C30" s="11"/>
      <c r="D30" s="11"/>
      <c r="E30" s="11"/>
      <c r="F30" s="11"/>
      <c r="G30" s="11"/>
      <c r="H30" s="11"/>
      <c r="I30" s="11"/>
      <c r="J30" s="11"/>
      <c r="K30" s="11"/>
      <c r="L30" s="11"/>
      <c r="M30" s="11"/>
      <c r="N30" s="11"/>
      <c r="O30" s="11"/>
      <c r="P30" s="11"/>
      <c r="Q30" s="11"/>
      <c r="R30" s="11"/>
      <c r="S30" s="11"/>
      <c r="T30" s="68"/>
      <c r="U30" s="11"/>
      <c r="V30" s="11"/>
      <c r="W30" s="11"/>
      <c r="X30" s="11"/>
      <c r="Y30" s="11"/>
      <c r="Z30" s="11"/>
      <c r="AA30" s="11"/>
      <c r="AB30" s="11"/>
      <c r="AF30" s="64"/>
    </row>
    <row r="31" spans="1:32" ht="11.25">
      <c r="A31" s="11"/>
      <c r="B31" s="11"/>
      <c r="C31" s="11"/>
      <c r="D31" s="11"/>
      <c r="E31" s="11"/>
      <c r="F31" s="11"/>
      <c r="G31" s="11"/>
      <c r="H31" s="11"/>
      <c r="I31" s="11"/>
      <c r="J31" s="11"/>
      <c r="K31" s="11"/>
      <c r="L31" s="11"/>
      <c r="M31" s="11"/>
      <c r="N31" s="11"/>
      <c r="O31" s="11"/>
      <c r="P31" s="11"/>
      <c r="Q31" s="11"/>
      <c r="R31" s="11"/>
      <c r="S31" s="11"/>
      <c r="T31" s="68"/>
      <c r="U31" s="11"/>
      <c r="V31" s="11"/>
      <c r="W31" s="11"/>
      <c r="X31" s="11"/>
      <c r="Y31" s="11"/>
      <c r="Z31" s="11"/>
      <c r="AA31" s="11"/>
      <c r="AB31" s="11"/>
      <c r="AF31" s="64"/>
    </row>
    <row r="32" spans="1:32" ht="11.25">
      <c r="A32" s="11"/>
      <c r="B32" s="11" t="s">
        <v>120</v>
      </c>
      <c r="C32" s="11"/>
      <c r="D32" s="11"/>
      <c r="E32" s="11"/>
      <c r="F32" s="11"/>
      <c r="G32" s="11"/>
      <c r="H32" s="11"/>
      <c r="I32" s="11"/>
      <c r="J32" s="11"/>
      <c r="K32" s="11"/>
      <c r="L32" s="11"/>
      <c r="M32" s="11"/>
      <c r="N32" s="11"/>
      <c r="O32" s="11"/>
      <c r="P32" s="11"/>
      <c r="Q32" s="11"/>
      <c r="R32" s="11"/>
      <c r="S32" s="11"/>
      <c r="T32" s="68"/>
      <c r="U32" s="11"/>
      <c r="V32" s="11"/>
      <c r="W32" s="11"/>
      <c r="X32" s="11"/>
      <c r="Y32" s="11"/>
      <c r="Z32" s="11"/>
      <c r="AA32" s="11"/>
      <c r="AB32" s="11"/>
      <c r="AF32" s="64"/>
    </row>
    <row r="33" spans="1:32" ht="11.25">
      <c r="A33" s="11"/>
      <c r="B33" s="11"/>
      <c r="C33" s="11"/>
      <c r="D33" s="11"/>
      <c r="E33" s="11"/>
      <c r="F33" s="11"/>
      <c r="G33" s="11"/>
      <c r="H33" s="11"/>
      <c r="I33" s="11"/>
      <c r="J33" s="11"/>
      <c r="K33" s="11"/>
      <c r="L33" s="11"/>
      <c r="M33" s="11"/>
      <c r="N33" s="11"/>
      <c r="O33" s="11"/>
      <c r="P33" s="11"/>
      <c r="Q33" s="11"/>
      <c r="R33" s="11"/>
      <c r="S33" s="11"/>
      <c r="T33" s="36"/>
      <c r="U33" s="11"/>
      <c r="V33" s="11"/>
      <c r="W33" s="11"/>
      <c r="X33" s="11"/>
      <c r="Y33" s="11"/>
      <c r="Z33" s="11"/>
      <c r="AA33" s="11"/>
      <c r="AB33" s="11"/>
      <c r="AF33" s="64"/>
    </row>
    <row r="34" spans="1:32" ht="11.25">
      <c r="A34" s="11"/>
      <c r="B34" s="11" t="s">
        <v>119</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F34" s="64"/>
    </row>
    <row r="35" spans="1:32" ht="11.25">
      <c r="A35" s="11"/>
      <c r="B35" s="11"/>
      <c r="C35" s="11"/>
      <c r="D35" s="11"/>
      <c r="E35" s="11"/>
      <c r="F35" s="11"/>
      <c r="G35" s="11"/>
      <c r="H35" s="11"/>
      <c r="I35" s="11"/>
      <c r="J35" s="11"/>
      <c r="K35" s="11"/>
      <c r="L35" s="11"/>
      <c r="M35" s="11"/>
      <c r="N35" s="11"/>
      <c r="O35" s="11"/>
      <c r="P35" s="11"/>
      <c r="Q35" s="11"/>
      <c r="R35" s="11"/>
      <c r="S35" s="11" t="s">
        <v>86</v>
      </c>
      <c r="T35" s="11"/>
      <c r="U35" s="11"/>
      <c r="V35" s="11"/>
      <c r="W35" s="11"/>
      <c r="X35" s="11"/>
      <c r="Y35" s="11"/>
      <c r="Z35" s="11"/>
      <c r="AA35" s="11"/>
      <c r="AB35" s="11"/>
      <c r="AF35" s="64"/>
    </row>
    <row r="36" spans="1:32" ht="11.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F36" s="64"/>
    </row>
    <row r="37" spans="1:32" ht="11.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F37" s="64"/>
    </row>
    <row r="38" spans="1:32" ht="11.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F38" s="64"/>
    </row>
    <row r="39" spans="1:32" ht="11.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F39" s="64"/>
    </row>
    <row r="40" spans="1:32" ht="11.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F40" s="64"/>
    </row>
    <row r="41" spans="1:32" ht="11.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F41" s="64"/>
    </row>
    <row r="42" spans="1:32" ht="11.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F42" s="64"/>
    </row>
    <row r="43" spans="1:32" ht="11.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F43" s="64"/>
    </row>
    <row r="44" spans="1:32" ht="11.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F44" s="64"/>
    </row>
  </sheetData>
  <printOptions/>
  <pageMargins left="0.5905511811023623" right="0.5905511811023623" top="0.98425196850393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2"/>
  </sheetPr>
  <dimension ref="A1:D102"/>
  <sheetViews>
    <sheetView workbookViewId="0" topLeftCell="A1">
      <selection activeCell="A1" sqref="A1"/>
    </sheetView>
  </sheetViews>
  <sheetFormatPr defaultColWidth="9.00390625" defaultRowHeight="12"/>
  <cols>
    <col min="1" max="1" width="12.875" style="59" customWidth="1"/>
    <col min="2" max="2" width="10.875" style="1" customWidth="1"/>
    <col min="3" max="3" width="9.875" style="59" customWidth="1"/>
    <col min="4" max="4" width="120.875" style="61" customWidth="1"/>
  </cols>
  <sheetData>
    <row r="1" spans="1:4" ht="11.25">
      <c r="A1" s="62" t="s">
        <v>35</v>
      </c>
      <c r="B1" s="63" t="s">
        <v>37</v>
      </c>
      <c r="C1" s="62" t="s">
        <v>41</v>
      </c>
      <c r="D1" s="60" t="s">
        <v>36</v>
      </c>
    </row>
    <row r="2" spans="1:4" ht="11.25">
      <c r="A2" s="58">
        <v>39081</v>
      </c>
      <c r="B2" s="56" t="s">
        <v>50</v>
      </c>
      <c r="C2" s="57" t="s">
        <v>42</v>
      </c>
      <c r="D2" s="61" t="s">
        <v>43</v>
      </c>
    </row>
    <row r="3" spans="1:4" ht="11.25">
      <c r="A3" s="58">
        <v>39114</v>
      </c>
      <c r="B3" s="56" t="s">
        <v>51</v>
      </c>
      <c r="C3" s="57" t="s">
        <v>44</v>
      </c>
      <c r="D3" s="61" t="s">
        <v>38</v>
      </c>
    </row>
    <row r="4" spans="1:4" ht="11.25">
      <c r="A4" s="58">
        <v>39114</v>
      </c>
      <c r="B4" s="56" t="s">
        <v>51</v>
      </c>
      <c r="C4" s="57" t="s">
        <v>44</v>
      </c>
      <c r="D4" s="61" t="s">
        <v>48</v>
      </c>
    </row>
    <row r="5" spans="1:4" ht="11.25">
      <c r="A5" s="58">
        <v>39114</v>
      </c>
      <c r="B5" s="56" t="s">
        <v>51</v>
      </c>
      <c r="C5" s="57" t="s">
        <v>44</v>
      </c>
      <c r="D5" s="61" t="s">
        <v>39</v>
      </c>
    </row>
    <row r="6" spans="1:4" ht="11.25">
      <c r="A6" s="58">
        <v>39114</v>
      </c>
      <c r="B6" s="56" t="s">
        <v>51</v>
      </c>
      <c r="C6" s="57" t="s">
        <v>44</v>
      </c>
      <c r="D6" s="61" t="s">
        <v>40</v>
      </c>
    </row>
    <row r="7" spans="1:4" ht="11.25">
      <c r="A7" s="58">
        <v>39159</v>
      </c>
      <c r="B7" s="56" t="s">
        <v>51</v>
      </c>
      <c r="C7" s="57" t="s">
        <v>47</v>
      </c>
      <c r="D7" s="61" t="s">
        <v>45</v>
      </c>
    </row>
    <row r="8" spans="1:4" ht="11.25">
      <c r="A8" s="58">
        <v>39159</v>
      </c>
      <c r="B8" s="56" t="s">
        <v>51</v>
      </c>
      <c r="C8" s="57" t="s">
        <v>47</v>
      </c>
      <c r="D8" s="61" t="s">
        <v>49</v>
      </c>
    </row>
    <row r="9" spans="1:4" ht="11.25">
      <c r="A9" s="58">
        <v>39159</v>
      </c>
      <c r="B9" s="56" t="s">
        <v>51</v>
      </c>
      <c r="C9" s="57" t="s">
        <v>46</v>
      </c>
      <c r="D9" s="61" t="s">
        <v>52</v>
      </c>
    </row>
    <row r="10" spans="1:4" ht="11.25">
      <c r="A10" s="58">
        <v>39159</v>
      </c>
      <c r="B10" s="56" t="s">
        <v>51</v>
      </c>
      <c r="C10" s="57" t="s">
        <v>46</v>
      </c>
      <c r="D10" s="61" t="s">
        <v>68</v>
      </c>
    </row>
    <row r="11" spans="1:4" ht="11.25">
      <c r="A11" s="58">
        <v>39159</v>
      </c>
      <c r="B11" s="56" t="s">
        <v>51</v>
      </c>
      <c r="C11" s="57" t="s">
        <v>46</v>
      </c>
      <c r="D11" s="61" t="s">
        <v>53</v>
      </c>
    </row>
    <row r="12" spans="1:4" ht="11.25">
      <c r="A12" s="58">
        <v>39162</v>
      </c>
      <c r="B12" s="56" t="s">
        <v>104</v>
      </c>
      <c r="C12" s="57" t="s">
        <v>105</v>
      </c>
      <c r="D12" s="61" t="s">
        <v>113</v>
      </c>
    </row>
    <row r="13" spans="1:4" ht="11.25">
      <c r="A13" s="58">
        <v>39165</v>
      </c>
      <c r="B13" s="56" t="s">
        <v>104</v>
      </c>
      <c r="C13" s="57" t="s">
        <v>111</v>
      </c>
      <c r="D13" s="61" t="s">
        <v>110</v>
      </c>
    </row>
    <row r="14" spans="1:4" ht="11.25">
      <c r="A14" s="58">
        <v>39165</v>
      </c>
      <c r="B14" s="56" t="s">
        <v>104</v>
      </c>
      <c r="C14" s="57" t="s">
        <v>111</v>
      </c>
      <c r="D14" s="61" t="s">
        <v>114</v>
      </c>
    </row>
    <row r="15" spans="1:4" ht="11.25">
      <c r="A15" s="58">
        <v>39166</v>
      </c>
      <c r="B15" s="56" t="s">
        <v>104</v>
      </c>
      <c r="C15" s="57" t="s">
        <v>126</v>
      </c>
      <c r="D15" s="61" t="s">
        <v>127</v>
      </c>
    </row>
    <row r="16" spans="1:4" ht="11.25">
      <c r="A16" s="58">
        <v>39166</v>
      </c>
      <c r="B16" s="56" t="s">
        <v>104</v>
      </c>
      <c r="C16" s="57" t="s">
        <v>132</v>
      </c>
      <c r="D16" s="61" t="s">
        <v>133</v>
      </c>
    </row>
    <row r="17" spans="1:4" ht="11.25">
      <c r="A17" s="58">
        <v>39166</v>
      </c>
      <c r="B17" s="56" t="s">
        <v>104</v>
      </c>
      <c r="C17" s="57" t="s">
        <v>132</v>
      </c>
      <c r="D17" s="61" t="s">
        <v>134</v>
      </c>
    </row>
    <row r="18" spans="1:4" ht="11.25">
      <c r="A18" s="58">
        <v>39339</v>
      </c>
      <c r="B18" s="56" t="s">
        <v>51</v>
      </c>
      <c r="C18" s="57" t="s">
        <v>137</v>
      </c>
      <c r="D18" s="61" t="s">
        <v>138</v>
      </c>
    </row>
    <row r="19" spans="1:4" ht="11.25">
      <c r="A19" s="58">
        <v>39339</v>
      </c>
      <c r="B19" s="56" t="s">
        <v>51</v>
      </c>
      <c r="C19" s="57" t="s">
        <v>137</v>
      </c>
      <c r="D19" s="61" t="s">
        <v>141</v>
      </c>
    </row>
    <row r="20" spans="1:4" ht="11.25">
      <c r="A20" s="58">
        <v>39406</v>
      </c>
      <c r="B20" s="56" t="s">
        <v>51</v>
      </c>
      <c r="C20" s="57" t="s">
        <v>137</v>
      </c>
      <c r="D20" s="61" t="s">
        <v>145</v>
      </c>
    </row>
    <row r="21" spans="1:3" ht="11.25">
      <c r="A21" s="58"/>
      <c r="B21" s="56"/>
      <c r="C21" s="57"/>
    </row>
    <row r="22" spans="1:3" ht="11.25">
      <c r="A22" s="58"/>
      <c r="B22" s="56"/>
      <c r="C22" s="57"/>
    </row>
    <row r="23" spans="1:3" ht="11.25">
      <c r="A23" s="58"/>
      <c r="B23" s="56"/>
      <c r="C23" s="57"/>
    </row>
    <row r="24" spans="1:3" ht="11.25">
      <c r="A24" s="58"/>
      <c r="B24" s="56"/>
      <c r="C24" s="58"/>
    </row>
    <row r="25" spans="1:3" ht="11.25">
      <c r="A25" s="58"/>
      <c r="B25" s="56"/>
      <c r="C25" s="58"/>
    </row>
    <row r="26" spans="1:3" ht="11.25">
      <c r="A26" s="58"/>
      <c r="B26" s="56"/>
      <c r="C26" s="58"/>
    </row>
    <row r="27" spans="1:3" ht="11.25">
      <c r="A27" s="58"/>
      <c r="B27" s="56"/>
      <c r="C27" s="58"/>
    </row>
    <row r="28" spans="1:3" ht="11.25">
      <c r="A28" s="58"/>
      <c r="B28" s="56"/>
      <c r="C28" s="58"/>
    </row>
    <row r="29" spans="1:3" ht="11.25">
      <c r="A29" s="58"/>
      <c r="B29" s="56"/>
      <c r="C29" s="58"/>
    </row>
    <row r="30" spans="1:3" ht="11.25">
      <c r="A30" s="58"/>
      <c r="B30" s="56"/>
      <c r="C30" s="58"/>
    </row>
    <row r="31" spans="1:3" ht="11.25">
      <c r="A31" s="58"/>
      <c r="B31" s="56"/>
      <c r="C31" s="58"/>
    </row>
    <row r="32" spans="1:3" ht="11.25">
      <c r="A32" s="58"/>
      <c r="B32" s="56"/>
      <c r="C32" s="58"/>
    </row>
    <row r="33" spans="1:3" ht="11.25">
      <c r="A33" s="58"/>
      <c r="B33" s="56"/>
      <c r="C33" s="58"/>
    </row>
    <row r="34" spans="1:3" ht="11.25">
      <c r="A34" s="58"/>
      <c r="B34" s="56"/>
      <c r="C34" s="58"/>
    </row>
    <row r="35" spans="1:3" ht="11.25">
      <c r="A35" s="58"/>
      <c r="B35" s="56"/>
      <c r="C35" s="58"/>
    </row>
    <row r="36" spans="1:3" ht="11.25">
      <c r="A36" s="58"/>
      <c r="B36" s="56"/>
      <c r="C36" s="58"/>
    </row>
    <row r="37" spans="1:3" ht="11.25">
      <c r="A37" s="58"/>
      <c r="B37" s="56"/>
      <c r="C37" s="58"/>
    </row>
    <row r="38" spans="1:3" ht="11.25">
      <c r="A38" s="58"/>
      <c r="B38" s="56"/>
      <c r="C38" s="58"/>
    </row>
    <row r="39" spans="1:3" ht="11.25">
      <c r="A39" s="58"/>
      <c r="B39" s="56"/>
      <c r="C39" s="58"/>
    </row>
    <row r="40" spans="1:3" ht="11.25">
      <c r="A40" s="58"/>
      <c r="B40" s="56"/>
      <c r="C40" s="58"/>
    </row>
    <row r="41" spans="1:3" ht="11.25">
      <c r="A41" s="58"/>
      <c r="B41" s="56"/>
      <c r="C41" s="58"/>
    </row>
    <row r="42" spans="1:3" ht="11.25">
      <c r="A42" s="58"/>
      <c r="B42" s="56"/>
      <c r="C42" s="58"/>
    </row>
    <row r="43" spans="1:3" ht="11.25">
      <c r="A43" s="58"/>
      <c r="B43" s="56"/>
      <c r="C43" s="58"/>
    </row>
    <row r="44" spans="1:3" ht="11.25">
      <c r="A44" s="58"/>
      <c r="B44" s="56"/>
      <c r="C44" s="58"/>
    </row>
    <row r="45" spans="1:3" ht="11.25">
      <c r="A45" s="58"/>
      <c r="B45" s="56"/>
      <c r="C45" s="58"/>
    </row>
    <row r="46" spans="1:3" ht="11.25">
      <c r="A46" s="58"/>
      <c r="B46" s="56"/>
      <c r="C46" s="58"/>
    </row>
    <row r="47" spans="1:3" ht="11.25">
      <c r="A47" s="58"/>
      <c r="B47" s="56"/>
      <c r="C47" s="58"/>
    </row>
    <row r="48" spans="1:3" ht="11.25">
      <c r="A48" s="58"/>
      <c r="B48" s="56"/>
      <c r="C48" s="58"/>
    </row>
    <row r="49" spans="1:3" ht="11.25">
      <c r="A49" s="58"/>
      <c r="B49" s="56"/>
      <c r="C49" s="58"/>
    </row>
    <row r="50" spans="1:3" ht="11.25">
      <c r="A50" s="58"/>
      <c r="B50" s="56"/>
      <c r="C50" s="58"/>
    </row>
    <row r="51" spans="1:3" ht="11.25">
      <c r="A51" s="58"/>
      <c r="B51" s="56"/>
      <c r="C51" s="58"/>
    </row>
    <row r="52" spans="1:3" ht="11.25">
      <c r="A52" s="58"/>
      <c r="B52" s="56"/>
      <c r="C52" s="58"/>
    </row>
    <row r="53" spans="1:3" ht="11.25">
      <c r="A53" s="58"/>
      <c r="B53" s="56"/>
      <c r="C53" s="58"/>
    </row>
    <row r="54" spans="1:3" ht="11.25">
      <c r="A54" s="58"/>
      <c r="B54" s="56"/>
      <c r="C54" s="58"/>
    </row>
    <row r="55" spans="1:3" ht="11.25">
      <c r="A55" s="58"/>
      <c r="B55" s="56"/>
      <c r="C55" s="58"/>
    </row>
    <row r="56" spans="1:3" ht="11.25">
      <c r="A56" s="58"/>
      <c r="B56" s="56"/>
      <c r="C56" s="58"/>
    </row>
    <row r="57" spans="1:3" ht="11.25">
      <c r="A57" s="58"/>
      <c r="B57" s="56"/>
      <c r="C57" s="58"/>
    </row>
    <row r="58" spans="1:3" ht="11.25">
      <c r="A58" s="58"/>
      <c r="B58" s="56"/>
      <c r="C58" s="58"/>
    </row>
    <row r="59" spans="1:3" ht="11.25">
      <c r="A59" s="58"/>
      <c r="B59" s="56"/>
      <c r="C59" s="58"/>
    </row>
    <row r="60" spans="1:3" ht="11.25">
      <c r="A60" s="58"/>
      <c r="B60" s="56"/>
      <c r="C60" s="58"/>
    </row>
    <row r="61" spans="1:3" ht="11.25">
      <c r="A61" s="58"/>
      <c r="B61" s="56"/>
      <c r="C61" s="58"/>
    </row>
    <row r="62" spans="1:3" ht="11.25">
      <c r="A62" s="58"/>
      <c r="B62" s="56"/>
      <c r="C62" s="58"/>
    </row>
    <row r="63" spans="1:3" ht="11.25">
      <c r="A63" s="58"/>
      <c r="B63" s="56"/>
      <c r="C63" s="58"/>
    </row>
    <row r="64" spans="1:3" ht="11.25">
      <c r="A64" s="58"/>
      <c r="B64" s="56"/>
      <c r="C64" s="58"/>
    </row>
    <row r="65" spans="1:3" ht="11.25">
      <c r="A65" s="58"/>
      <c r="B65" s="56"/>
      <c r="C65" s="58"/>
    </row>
    <row r="66" spans="1:3" ht="11.25">
      <c r="A66" s="58"/>
      <c r="B66" s="56"/>
      <c r="C66" s="58"/>
    </row>
    <row r="67" spans="1:3" ht="11.25">
      <c r="A67" s="58"/>
      <c r="B67" s="56"/>
      <c r="C67" s="58"/>
    </row>
    <row r="68" spans="1:3" ht="11.25">
      <c r="A68" s="58"/>
      <c r="B68" s="56"/>
      <c r="C68" s="58"/>
    </row>
    <row r="69" spans="1:3" ht="11.25">
      <c r="A69" s="58"/>
      <c r="B69" s="56"/>
      <c r="C69" s="58"/>
    </row>
    <row r="70" spans="1:3" ht="11.25">
      <c r="A70" s="58"/>
      <c r="B70" s="56"/>
      <c r="C70" s="58"/>
    </row>
    <row r="71" spans="1:3" ht="11.25">
      <c r="A71" s="58"/>
      <c r="B71" s="56"/>
      <c r="C71" s="58"/>
    </row>
    <row r="72" spans="1:3" ht="11.25">
      <c r="A72" s="58"/>
      <c r="B72" s="56"/>
      <c r="C72" s="58"/>
    </row>
    <row r="73" spans="1:3" ht="11.25">
      <c r="A73" s="58"/>
      <c r="B73" s="56"/>
      <c r="C73" s="58"/>
    </row>
    <row r="74" spans="1:3" ht="11.25">
      <c r="A74" s="58"/>
      <c r="B74" s="56"/>
      <c r="C74" s="58"/>
    </row>
    <row r="75" spans="1:3" ht="11.25">
      <c r="A75" s="58"/>
      <c r="B75" s="56"/>
      <c r="C75" s="58"/>
    </row>
    <row r="76" spans="1:3" ht="11.25">
      <c r="A76" s="58"/>
      <c r="B76" s="56"/>
      <c r="C76" s="58"/>
    </row>
    <row r="77" spans="1:3" ht="11.25">
      <c r="A77" s="58"/>
      <c r="B77" s="56"/>
      <c r="C77" s="58"/>
    </row>
    <row r="78" spans="1:3" ht="11.25">
      <c r="A78" s="58"/>
      <c r="B78" s="56"/>
      <c r="C78" s="58"/>
    </row>
    <row r="79" spans="1:3" ht="11.25">
      <c r="A79" s="58"/>
      <c r="B79" s="56"/>
      <c r="C79" s="58"/>
    </row>
    <row r="80" spans="1:3" ht="11.25">
      <c r="A80" s="58"/>
      <c r="B80" s="56"/>
      <c r="C80" s="58"/>
    </row>
    <row r="81" spans="1:3" ht="11.25">
      <c r="A81" s="58"/>
      <c r="B81" s="56"/>
      <c r="C81" s="58"/>
    </row>
    <row r="82" spans="1:3" ht="11.25">
      <c r="A82" s="58"/>
      <c r="B82" s="56"/>
      <c r="C82" s="58"/>
    </row>
    <row r="83" spans="1:3" ht="11.25">
      <c r="A83" s="58"/>
      <c r="B83" s="56"/>
      <c r="C83" s="58"/>
    </row>
    <row r="84" spans="1:3" ht="11.25">
      <c r="A84" s="58"/>
      <c r="B84" s="56"/>
      <c r="C84" s="58"/>
    </row>
    <row r="85" spans="1:3" ht="11.25">
      <c r="A85" s="58"/>
      <c r="B85" s="56"/>
      <c r="C85" s="58"/>
    </row>
    <row r="86" spans="1:3" ht="11.25">
      <c r="A86" s="58"/>
      <c r="B86" s="56"/>
      <c r="C86" s="58"/>
    </row>
    <row r="87" spans="1:3" ht="11.25">
      <c r="A87" s="58"/>
      <c r="B87" s="56"/>
      <c r="C87" s="58"/>
    </row>
    <row r="88" spans="1:3" ht="11.25">
      <c r="A88" s="58"/>
      <c r="B88" s="56"/>
      <c r="C88" s="58"/>
    </row>
    <row r="89" spans="1:3" ht="11.25">
      <c r="A89" s="58"/>
      <c r="B89" s="56"/>
      <c r="C89" s="58"/>
    </row>
    <row r="90" spans="1:3" ht="11.25">
      <c r="A90" s="58"/>
      <c r="B90" s="56"/>
      <c r="C90" s="58"/>
    </row>
    <row r="91" spans="1:3" ht="11.25">
      <c r="A91" s="58"/>
      <c r="B91" s="56"/>
      <c r="C91" s="58"/>
    </row>
    <row r="92" spans="1:3" ht="11.25">
      <c r="A92" s="58"/>
      <c r="B92" s="56"/>
      <c r="C92" s="58"/>
    </row>
    <row r="93" spans="1:3" ht="11.25">
      <c r="A93" s="58"/>
      <c r="B93" s="56"/>
      <c r="C93" s="58"/>
    </row>
    <row r="94" spans="1:3" ht="11.25">
      <c r="A94" s="58"/>
      <c r="B94" s="56"/>
      <c r="C94" s="58"/>
    </row>
    <row r="95" spans="1:3" ht="11.25">
      <c r="A95" s="58"/>
      <c r="B95" s="56"/>
      <c r="C95" s="58"/>
    </row>
    <row r="96" spans="1:3" ht="11.25">
      <c r="A96" s="58"/>
      <c r="B96" s="56"/>
      <c r="C96" s="58"/>
    </row>
    <row r="97" spans="1:3" ht="11.25">
      <c r="A97" s="58"/>
      <c r="B97" s="56"/>
      <c r="C97" s="58"/>
    </row>
    <row r="98" spans="1:3" ht="11.25">
      <c r="A98" s="58"/>
      <c r="B98" s="56"/>
      <c r="C98" s="58"/>
    </row>
    <row r="99" spans="1:3" ht="11.25">
      <c r="A99" s="58"/>
      <c r="B99" s="56"/>
      <c r="C99" s="58"/>
    </row>
    <row r="100" spans="1:3" ht="11.25">
      <c r="A100" s="58"/>
      <c r="B100" s="56"/>
      <c r="C100" s="58"/>
    </row>
    <row r="101" spans="1:3" ht="11.25">
      <c r="A101" s="58"/>
      <c r="B101" s="56"/>
      <c r="C101" s="58"/>
    </row>
    <row r="102" spans="1:3" ht="11.25">
      <c r="A102" s="58"/>
      <c r="B102" s="56"/>
      <c r="C102" s="58"/>
    </row>
  </sheetData>
  <printOptions/>
  <pageMargins left="0.5905511811023623" right="0.5905511811023623" top="0.984251968503937" bottom="0.7874015748031497" header="0.5118110236220472" footer="0.5118110236220472"/>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takano</dc:creator>
  <cp:keywords/>
  <dc:description/>
  <cp:lastModifiedBy>NOMURA</cp:lastModifiedBy>
  <cp:lastPrinted>2007-09-14T02:05:39Z</cp:lastPrinted>
  <dcterms:created xsi:type="dcterms:W3CDTF">2006-12-27T00:53:07Z</dcterms:created>
  <dcterms:modified xsi:type="dcterms:W3CDTF">2007-11-19T17:48:20Z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